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R Mercadeo y CRM\Servicio y Fidelizacion del Cliente\PROPINAS S. Cliente\"/>
    </mc:Choice>
  </mc:AlternateContent>
  <bookViews>
    <workbookView xWindow="240" yWindow="45" windowWidth="21075" windowHeight="10035" firstSheet="18" activeTab="20"/>
  </bookViews>
  <sheets>
    <sheet name="NO MODIFICA" sheetId="23" r:id="rId1"/>
    <sheet name="PROPINAS DEL 6-10 AL 21-10-2015" sheetId="25" r:id="rId2"/>
    <sheet name="PROPINAS DEL 21-10 AL 4-11-2015" sheetId="27" r:id="rId3"/>
    <sheet name="PROPINAS DEL 5 AL 19 DE NOV" sheetId="28" r:id="rId4"/>
    <sheet name="PROPINAS DEL 20 AL 4 DE DIC" sheetId="30" r:id="rId5"/>
    <sheet name="PROPINAS DEL 5-20 DIC" sheetId="31" r:id="rId6"/>
    <sheet name="PROPINAS DEL 21-03 DIC" sheetId="32" r:id="rId7"/>
    <sheet name="Propinas del 04 al 18 de enero " sheetId="33" r:id="rId8"/>
    <sheet name="propinas del 19-01 al 04-02" sheetId="34" r:id="rId9"/>
    <sheet name="Propinas del 05 al 18 Febrero" sheetId="35" r:id="rId10"/>
    <sheet name="Propinas del 19 al 04 de Marzo" sheetId="36" r:id="rId11"/>
    <sheet name="Propinas del 5 al 19 de Marzo" sheetId="37" r:id="rId12"/>
    <sheet name="Propinas del 19 al 3 de Abril" sheetId="38" r:id="rId13"/>
    <sheet name="Propinas del 4 al 20 de Abril" sheetId="39" r:id="rId14"/>
    <sheet name="propinas del 21 al 5 de mayo" sheetId="40" r:id="rId15"/>
    <sheet name="Propinas del 6 al 19 de mayo" sheetId="41" r:id="rId16"/>
    <sheet name="Propinas del 19 al 2 de junio" sheetId="42" r:id="rId17"/>
    <sheet name="Propinas del 3 al 14 de junio" sheetId="43" r:id="rId18"/>
    <sheet name="propinas del 15 al 3 de julio" sheetId="94" r:id="rId19"/>
    <sheet name="propinas del 4 al 20 de julio " sheetId="95" r:id="rId20"/>
    <sheet name="propinas del 20 al 4 de ago 16" sheetId="96" r:id="rId21"/>
  </sheets>
  <calcPr calcId="152511"/>
</workbook>
</file>

<file path=xl/calcChain.xml><?xml version="1.0" encoding="utf-8"?>
<calcChain xmlns="http://schemas.openxmlformats.org/spreadsheetml/2006/main">
  <c r="F15" i="95" l="1"/>
  <c r="F4" i="95"/>
  <c r="F5" i="95"/>
  <c r="F6" i="95"/>
  <c r="F7" i="95"/>
  <c r="F8" i="95"/>
  <c r="F9" i="95"/>
  <c r="F10" i="95"/>
  <c r="F11" i="95"/>
  <c r="F12" i="95"/>
  <c r="F13" i="95"/>
  <c r="F14" i="95"/>
  <c r="F3" i="95"/>
  <c r="E4" i="95" l="1"/>
  <c r="E5" i="95"/>
  <c r="E6" i="95"/>
  <c r="E7" i="95"/>
  <c r="E8" i="95"/>
  <c r="E9" i="95"/>
  <c r="E13" i="95"/>
  <c r="E14" i="95"/>
  <c r="C4" i="95"/>
  <c r="C5" i="95"/>
  <c r="C6" i="95"/>
  <c r="C7" i="95"/>
  <c r="C8" i="95"/>
  <c r="C9" i="95"/>
  <c r="C10" i="95"/>
  <c r="C11" i="95"/>
  <c r="C12" i="95"/>
  <c r="C13" i="95"/>
  <c r="C14" i="95"/>
  <c r="C15" i="95"/>
  <c r="I4" i="96" l="1"/>
  <c r="I5" i="96"/>
  <c r="I6" i="96"/>
  <c r="I7" i="96"/>
  <c r="I8" i="96"/>
  <c r="I9" i="96"/>
  <c r="I10" i="96"/>
  <c r="I11" i="96"/>
  <c r="I12" i="96"/>
  <c r="I13" i="96"/>
  <c r="I14" i="96"/>
  <c r="I15" i="96"/>
  <c r="I3" i="96"/>
  <c r="C21" i="95" l="1"/>
  <c r="E8" i="96"/>
  <c r="E9" i="96"/>
  <c r="E13" i="96"/>
  <c r="E14" i="96"/>
  <c r="C8" i="96"/>
  <c r="C20" i="96" l="1"/>
  <c r="C21" i="96" s="1"/>
  <c r="E16" i="96"/>
  <c r="C15" i="96"/>
  <c r="C14" i="96"/>
  <c r="C13" i="96"/>
  <c r="C12" i="96"/>
  <c r="C11" i="96"/>
  <c r="C10" i="96"/>
  <c r="C9" i="96"/>
  <c r="C7" i="96"/>
  <c r="C6" i="96"/>
  <c r="C5" i="96"/>
  <c r="C4" i="96"/>
  <c r="C3" i="96"/>
  <c r="D7" i="96" l="1"/>
  <c r="D14" i="96"/>
  <c r="D10" i="96"/>
  <c r="D6" i="96"/>
  <c r="D13" i="96"/>
  <c r="D9" i="96"/>
  <c r="D5" i="96"/>
  <c r="D12" i="96"/>
  <c r="D8" i="96"/>
  <c r="D4" i="96"/>
  <c r="D15" i="96"/>
  <c r="D11" i="96"/>
  <c r="F13" i="96"/>
  <c r="D3" i="96"/>
  <c r="E3" i="94"/>
  <c r="C21" i="94" l="1"/>
  <c r="F14" i="96" l="1"/>
  <c r="E16" i="95"/>
  <c r="C3" i="95" l="1"/>
  <c r="D9" i="95" l="1"/>
  <c r="C20" i="95"/>
  <c r="D6" i="95" s="1"/>
  <c r="D14" i="95" l="1"/>
  <c r="D5" i="95"/>
  <c r="D15" i="95"/>
  <c r="D12" i="95"/>
  <c r="D3" i="95"/>
  <c r="D13" i="95"/>
  <c r="D7" i="95"/>
  <c r="D4" i="95"/>
  <c r="D11" i="95"/>
  <c r="D8" i="95"/>
  <c r="D10" i="95"/>
  <c r="F14" i="94"/>
  <c r="E14" i="94"/>
  <c r="E13" i="94"/>
  <c r="E11" i="94"/>
  <c r="E9" i="94"/>
  <c r="E8" i="94"/>
  <c r="E7" i="94"/>
  <c r="E6" i="94"/>
  <c r="E4" i="94"/>
  <c r="C22" i="94"/>
  <c r="D3" i="94"/>
  <c r="C20" i="94"/>
  <c r="C20" i="42"/>
  <c r="C15" i="94"/>
  <c r="C14" i="94"/>
  <c r="C13" i="94"/>
  <c r="C12" i="94"/>
  <c r="C11" i="94"/>
  <c r="C10" i="94"/>
  <c r="C9" i="94"/>
  <c r="C8" i="94"/>
  <c r="C7" i="94"/>
  <c r="C4" i="94"/>
  <c r="C5" i="94"/>
  <c r="C6" i="94"/>
  <c r="C3" i="94"/>
  <c r="D9" i="94"/>
  <c r="D16" i="95" l="1"/>
  <c r="C22" i="95" s="1"/>
  <c r="C25" i="95" s="1"/>
  <c r="D14" i="94"/>
  <c r="F9" i="94"/>
  <c r="D15" i="94"/>
  <c r="D13" i="94"/>
  <c r="D12" i="94"/>
  <c r="D11" i="94"/>
  <c r="D10" i="94"/>
  <c r="D8" i="94"/>
  <c r="F8" i="94" s="1"/>
  <c r="D7" i="94"/>
  <c r="F7" i="94" s="1"/>
  <c r="D6" i="94"/>
  <c r="D5" i="94"/>
  <c r="D4" i="94"/>
  <c r="E11" i="95" l="1"/>
  <c r="E15" i="95"/>
  <c r="E12" i="95"/>
  <c r="E10" i="95"/>
  <c r="E3" i="95"/>
  <c r="D16" i="94"/>
  <c r="C25" i="94" s="1"/>
  <c r="F3" i="94" s="1"/>
  <c r="F16" i="94" s="1"/>
  <c r="F16" i="95" l="1"/>
  <c r="E12" i="94"/>
  <c r="F12" i="94" s="1"/>
  <c r="E15" i="94"/>
  <c r="F15" i="94" s="1"/>
  <c r="E10" i="94"/>
  <c r="F10" i="94" s="1"/>
  <c r="E5" i="94"/>
  <c r="F5" i="94" s="1"/>
  <c r="F13" i="94"/>
  <c r="F11" i="94"/>
  <c r="F6" i="94"/>
  <c r="F4" i="94"/>
  <c r="E11" i="43" l="1"/>
  <c r="E13" i="43"/>
  <c r="C4" i="43"/>
  <c r="C5" i="43"/>
  <c r="C6" i="43"/>
  <c r="C7" i="43"/>
  <c r="C8" i="43"/>
  <c r="C10" i="43"/>
  <c r="C11" i="43"/>
  <c r="C13" i="43"/>
  <c r="C14" i="43"/>
  <c r="C15" i="43"/>
  <c r="C3" i="43"/>
  <c r="E10" i="42"/>
  <c r="E15" i="43"/>
  <c r="E9" i="43" l="1"/>
  <c r="C20" i="43" l="1"/>
  <c r="D9" i="43"/>
  <c r="C21" i="43" l="1"/>
  <c r="D5" i="43" s="1"/>
  <c r="D8" i="43"/>
  <c r="D14" i="43"/>
  <c r="E4" i="42"/>
  <c r="E5" i="42"/>
  <c r="E6" i="42"/>
  <c r="E7" i="42"/>
  <c r="E8" i="42"/>
  <c r="E9" i="42"/>
  <c r="E11" i="42"/>
  <c r="E12" i="42"/>
  <c r="E13" i="42"/>
  <c r="E14" i="42"/>
  <c r="E3" i="42"/>
  <c r="C4" i="42"/>
  <c r="C5" i="42"/>
  <c r="C6" i="42"/>
  <c r="C7" i="42"/>
  <c r="C8" i="42"/>
  <c r="C9" i="42"/>
  <c r="C10" i="42"/>
  <c r="C11" i="42"/>
  <c r="C12" i="42"/>
  <c r="C13" i="42"/>
  <c r="C14" i="42"/>
  <c r="C3" i="42"/>
  <c r="D4" i="43" l="1"/>
  <c r="D13" i="43"/>
  <c r="D3" i="43"/>
  <c r="D11" i="43"/>
  <c r="D6" i="43"/>
  <c r="D7" i="43"/>
  <c r="D15" i="43"/>
  <c r="D10" i="43"/>
  <c r="C19" i="42"/>
  <c r="D9" i="42"/>
  <c r="E14" i="43" l="1"/>
  <c r="F14" i="43" s="1"/>
  <c r="E6" i="43"/>
  <c r="F6" i="43" s="1"/>
  <c r="E10" i="43"/>
  <c r="F10" i="43" s="1"/>
  <c r="F15" i="43"/>
  <c r="E7" i="43"/>
  <c r="F7" i="43" s="1"/>
  <c r="E4" i="43"/>
  <c r="F4" i="43" s="1"/>
  <c r="E8" i="43"/>
  <c r="F8" i="43" s="1"/>
  <c r="F13" i="43"/>
  <c r="E5" i="43"/>
  <c r="F5" i="43" s="1"/>
  <c r="E3" i="43"/>
  <c r="F3" i="43" s="1"/>
  <c r="F9" i="43"/>
  <c r="F11" i="43"/>
  <c r="F9" i="42"/>
  <c r="D14" i="42"/>
  <c r="D13" i="42"/>
  <c r="D12" i="42"/>
  <c r="D10" i="42"/>
  <c r="D8" i="42"/>
  <c r="F8" i="42" s="1"/>
  <c r="D6" i="42"/>
  <c r="D4" i="42"/>
  <c r="D11" i="42"/>
  <c r="D7" i="42"/>
  <c r="F7" i="42" s="1"/>
  <c r="D5" i="42"/>
  <c r="D3" i="42"/>
  <c r="E4" i="41"/>
  <c r="E7" i="41"/>
  <c r="E8" i="41"/>
  <c r="E9" i="41"/>
  <c r="E13" i="41"/>
  <c r="F16" i="43" l="1"/>
  <c r="D15" i="42"/>
  <c r="C21" i="42" s="1"/>
  <c r="C24" i="42" s="1"/>
  <c r="C4" i="41"/>
  <c r="C5" i="41"/>
  <c r="C6" i="41"/>
  <c r="C7" i="41"/>
  <c r="C8" i="41"/>
  <c r="C9" i="41"/>
  <c r="C10" i="41"/>
  <c r="C11" i="41"/>
  <c r="C12" i="41"/>
  <c r="C13" i="41"/>
  <c r="C14" i="41"/>
  <c r="C3" i="41"/>
  <c r="C19" i="41"/>
  <c r="D9" i="41"/>
  <c r="F3" i="42" l="1"/>
  <c r="F13" i="42"/>
  <c r="F12" i="42"/>
  <c r="F5" i="42"/>
  <c r="F14" i="42"/>
  <c r="F11" i="42"/>
  <c r="F10" i="42"/>
  <c r="F6" i="42"/>
  <c r="F4" i="42"/>
  <c r="C20" i="41"/>
  <c r="D5" i="41" s="1"/>
  <c r="F9" i="41"/>
  <c r="E4" i="40"/>
  <c r="E5" i="40"/>
  <c r="E6" i="40"/>
  <c r="E7" i="40"/>
  <c r="E8" i="40"/>
  <c r="E9" i="40"/>
  <c r="E10" i="40"/>
  <c r="E11" i="40"/>
  <c r="E12" i="40"/>
  <c r="E13" i="40"/>
  <c r="E14" i="40"/>
  <c r="E3" i="40"/>
  <c r="F15" i="42" l="1"/>
  <c r="D8" i="41"/>
  <c r="F8" i="41" s="1"/>
  <c r="D4" i="41"/>
  <c r="D13" i="41"/>
  <c r="F13" i="41" s="1"/>
  <c r="D7" i="41"/>
  <c r="F7" i="41" s="1"/>
  <c r="D3" i="41"/>
  <c r="D14" i="41"/>
  <c r="D12" i="41"/>
  <c r="D6" i="41"/>
  <c r="D11" i="41"/>
  <c r="D10" i="41"/>
  <c r="C4" i="40"/>
  <c r="C5" i="40"/>
  <c r="C6" i="40"/>
  <c r="C7" i="40"/>
  <c r="C8" i="40"/>
  <c r="C9" i="40"/>
  <c r="C10" i="40"/>
  <c r="C11" i="40"/>
  <c r="C12" i="40"/>
  <c r="C13" i="40"/>
  <c r="C14" i="40"/>
  <c r="C3" i="40"/>
  <c r="C19" i="40"/>
  <c r="C20" i="40" s="1"/>
  <c r="D14" i="40" s="1"/>
  <c r="D9" i="40"/>
  <c r="D15" i="41" l="1"/>
  <c r="C21" i="41" s="1"/>
  <c r="C24" i="41" s="1"/>
  <c r="E6" i="41" s="1"/>
  <c r="F6" i="41" s="1"/>
  <c r="F4" i="41"/>
  <c r="F9" i="40"/>
  <c r="D3" i="40"/>
  <c r="D4" i="40"/>
  <c r="F4" i="40" s="1"/>
  <c r="D5" i="40"/>
  <c r="D6" i="40"/>
  <c r="F6" i="40" s="1"/>
  <c r="D7" i="40"/>
  <c r="D8" i="40"/>
  <c r="D10" i="40"/>
  <c r="D11" i="40"/>
  <c r="D12" i="40"/>
  <c r="D13" i="40"/>
  <c r="F13" i="40" s="1"/>
  <c r="E4" i="39"/>
  <c r="E5" i="39"/>
  <c r="E6" i="39"/>
  <c r="E7" i="39"/>
  <c r="E8" i="39"/>
  <c r="E9" i="39"/>
  <c r="E10" i="39"/>
  <c r="E11" i="39"/>
  <c r="E12" i="39"/>
  <c r="E13" i="39"/>
  <c r="E14" i="39"/>
  <c r="E15" i="39"/>
  <c r="C20" i="39"/>
  <c r="C4" i="39"/>
  <c r="C5" i="39"/>
  <c r="C6" i="39"/>
  <c r="C7" i="39"/>
  <c r="C8" i="39"/>
  <c r="C9" i="39"/>
  <c r="C10" i="39"/>
  <c r="C11" i="39"/>
  <c r="C12" i="39"/>
  <c r="C13" i="39"/>
  <c r="C14" i="39"/>
  <c r="C3" i="39"/>
  <c r="E14" i="41" l="1"/>
  <c r="F14" i="41" s="1"/>
  <c r="E3" i="41"/>
  <c r="F3" i="41" s="1"/>
  <c r="E12" i="41"/>
  <c r="F12" i="41" s="1"/>
  <c r="E10" i="41"/>
  <c r="F10" i="41" s="1"/>
  <c r="E11" i="41"/>
  <c r="F11" i="41" s="1"/>
  <c r="E5" i="41"/>
  <c r="F5" i="41" s="1"/>
  <c r="D15" i="40"/>
  <c r="C21" i="40" s="1"/>
  <c r="C24" i="40" s="1"/>
  <c r="D8" i="38"/>
  <c r="F15" i="41" l="1"/>
  <c r="F7" i="40"/>
  <c r="F3" i="40"/>
  <c r="F14" i="40"/>
  <c r="F12" i="40"/>
  <c r="F11" i="40"/>
  <c r="F10" i="40"/>
  <c r="F8" i="40"/>
  <c r="F5" i="40"/>
  <c r="F9" i="39"/>
  <c r="C19" i="39"/>
  <c r="D9" i="39"/>
  <c r="F15" i="40" l="1"/>
  <c r="D20" i="38"/>
  <c r="H17" i="37"/>
  <c r="C10" i="38"/>
  <c r="C4" i="38"/>
  <c r="C5" i="38"/>
  <c r="C6" i="38"/>
  <c r="C7" i="38"/>
  <c r="C8" i="38"/>
  <c r="C9" i="38"/>
  <c r="C11" i="38"/>
  <c r="C12" i="38"/>
  <c r="C13" i="38"/>
  <c r="C14" i="38"/>
  <c r="E15" i="38" l="1"/>
  <c r="E13" i="38"/>
  <c r="E9" i="38"/>
  <c r="E7" i="38"/>
  <c r="E6" i="38"/>
  <c r="C3" i="38"/>
  <c r="B9" i="37" l="1"/>
  <c r="B7" i="37"/>
  <c r="B6" i="37"/>
  <c r="B5" i="37"/>
  <c r="E8" i="38" l="1"/>
  <c r="C21" i="37"/>
  <c r="C22" i="37" s="1"/>
  <c r="E15" i="37"/>
  <c r="C14" i="37"/>
  <c r="C13" i="37"/>
  <c r="C12" i="37"/>
  <c r="C11" i="37"/>
  <c r="C10" i="37"/>
  <c r="E9" i="37"/>
  <c r="C9" i="37"/>
  <c r="C8" i="37"/>
  <c r="C7" i="37"/>
  <c r="C6" i="37"/>
  <c r="E5" i="37"/>
  <c r="C5" i="37"/>
  <c r="C4" i="37"/>
  <c r="C3" i="37"/>
  <c r="D14" i="37" l="1"/>
  <c r="D13" i="37"/>
  <c r="D12" i="37"/>
  <c r="D11" i="37"/>
  <c r="D10" i="37"/>
  <c r="D9" i="37"/>
  <c r="F9" i="37" s="1"/>
  <c r="D8" i="37"/>
  <c r="D7" i="37"/>
  <c r="D6" i="37"/>
  <c r="D5" i="37"/>
  <c r="F5" i="37" s="1"/>
  <c r="D4" i="37"/>
  <c r="D3" i="37"/>
  <c r="E5" i="36"/>
  <c r="E4" i="36"/>
  <c r="F4" i="36" s="1"/>
  <c r="F5" i="36"/>
  <c r="E6" i="36"/>
  <c r="F6" i="36" s="1"/>
  <c r="E7" i="36"/>
  <c r="E8" i="36"/>
  <c r="E9" i="36"/>
  <c r="F9" i="36" s="1"/>
  <c r="E10" i="36"/>
  <c r="F10" i="36" s="1"/>
  <c r="E11" i="36"/>
  <c r="E12" i="36"/>
  <c r="E13" i="36"/>
  <c r="F13" i="36" s="1"/>
  <c r="E14" i="36"/>
  <c r="F14" i="36" s="1"/>
  <c r="E15" i="36"/>
  <c r="F8" i="36"/>
  <c r="F12" i="36"/>
  <c r="E3" i="36"/>
  <c r="F11" i="36"/>
  <c r="F7" i="36"/>
  <c r="F3" i="36"/>
  <c r="E3" i="35"/>
  <c r="C4" i="36"/>
  <c r="C5" i="36"/>
  <c r="C6" i="36"/>
  <c r="C7" i="36"/>
  <c r="C8" i="36"/>
  <c r="C9" i="36"/>
  <c r="C10" i="36"/>
  <c r="C11" i="36"/>
  <c r="C12" i="36"/>
  <c r="C13" i="36"/>
  <c r="C14" i="36"/>
  <c r="C3" i="36"/>
  <c r="D15" i="37" l="1"/>
  <c r="C23" i="37" s="1"/>
  <c r="C26" i="37" s="1"/>
  <c r="F15" i="36"/>
  <c r="C21" i="36"/>
  <c r="C22" i="36" s="1"/>
  <c r="E13" i="37" l="1"/>
  <c r="F13" i="37" s="1"/>
  <c r="E10" i="37"/>
  <c r="F10" i="37" s="1"/>
  <c r="E8" i="37"/>
  <c r="F8" i="37" s="1"/>
  <c r="E7" i="37"/>
  <c r="F7" i="37" s="1"/>
  <c r="E6" i="37"/>
  <c r="F6" i="37" s="1"/>
  <c r="E4" i="37"/>
  <c r="F4" i="37" s="1"/>
  <c r="E14" i="37"/>
  <c r="F14" i="37" s="1"/>
  <c r="E12" i="37"/>
  <c r="F12" i="37" s="1"/>
  <c r="E11" i="37"/>
  <c r="F11" i="37" s="1"/>
  <c r="E3" i="37"/>
  <c r="F3" i="37" s="1"/>
  <c r="D6" i="36"/>
  <c r="D7" i="36"/>
  <c r="D12" i="36"/>
  <c r="D8" i="36"/>
  <c r="D13" i="36"/>
  <c r="D4" i="36"/>
  <c r="D9" i="36"/>
  <c r="D3" i="36"/>
  <c r="D5" i="36"/>
  <c r="D11" i="36"/>
  <c r="D10" i="36"/>
  <c r="D14" i="36"/>
  <c r="C4" i="35"/>
  <c r="C6" i="35"/>
  <c r="C3" i="35"/>
  <c r="G13" i="37" l="1"/>
  <c r="F15" i="37"/>
  <c r="D15" i="36"/>
  <c r="C23" i="36" s="1"/>
  <c r="C26" i="36" s="1"/>
  <c r="C21" i="35"/>
  <c r="C22" i="35" s="1"/>
  <c r="D15" i="34"/>
  <c r="D7" i="35" l="1"/>
  <c r="D11" i="35"/>
  <c r="D3" i="35"/>
  <c r="D6" i="35"/>
  <c r="F6" i="35" s="1"/>
  <c r="D14" i="35"/>
  <c r="D4" i="35"/>
  <c r="F4" i="35" s="1"/>
  <c r="D8" i="35"/>
  <c r="D12" i="35"/>
  <c r="D5" i="35"/>
  <c r="D9" i="35"/>
  <c r="F9" i="35" s="1"/>
  <c r="D13" i="35"/>
  <c r="D10" i="35"/>
  <c r="E13" i="34"/>
  <c r="C13" i="34"/>
  <c r="C12" i="34"/>
  <c r="E10" i="34"/>
  <c r="E3" i="34"/>
  <c r="C22" i="34"/>
  <c r="C11" i="34"/>
  <c r="C10" i="34"/>
  <c r="C9" i="34"/>
  <c r="C8" i="34"/>
  <c r="C7" i="34"/>
  <c r="C6" i="34"/>
  <c r="C5" i="34"/>
  <c r="C4" i="34"/>
  <c r="C3" i="34"/>
  <c r="C21" i="34"/>
  <c r="D15" i="35" l="1"/>
  <c r="F4" i="34"/>
  <c r="D12" i="34"/>
  <c r="D13" i="34"/>
  <c r="F13" i="34"/>
  <c r="D11" i="34"/>
  <c r="D10" i="34"/>
  <c r="F10" i="34" s="1"/>
  <c r="D9" i="34"/>
  <c r="D8" i="34"/>
  <c r="D7" i="34"/>
  <c r="D6" i="34"/>
  <c r="D5" i="34"/>
  <c r="D4" i="34"/>
  <c r="D3" i="34"/>
  <c r="C23" i="34" l="1"/>
  <c r="F3" i="34"/>
  <c r="C26" i="34" l="1"/>
  <c r="E12" i="34" s="1"/>
  <c r="F12" i="34" s="1"/>
  <c r="E11" i="34" l="1"/>
  <c r="F11" i="34" s="1"/>
  <c r="E6" i="34"/>
  <c r="F6" i="34" s="1"/>
  <c r="E7" i="34"/>
  <c r="F7" i="34" s="1"/>
  <c r="E8" i="34"/>
  <c r="F8" i="34" s="1"/>
  <c r="E9" i="34"/>
  <c r="F9" i="34" s="1"/>
  <c r="C4" i="33"/>
  <c r="C5" i="33"/>
  <c r="C6" i="33"/>
  <c r="C7" i="33"/>
  <c r="C8" i="33"/>
  <c r="C9" i="33"/>
  <c r="C10" i="33"/>
  <c r="C11" i="33"/>
  <c r="C12" i="33"/>
  <c r="C13" i="33"/>
  <c r="C3" i="33"/>
  <c r="E10" i="33"/>
  <c r="E15" i="34" l="1"/>
  <c r="F5" i="34"/>
  <c r="F15" i="34" s="1"/>
  <c r="H15" i="32"/>
  <c r="C21" i="33"/>
  <c r="C22" i="33" s="1"/>
  <c r="D10" i="33" s="1"/>
  <c r="F10" i="33" s="1"/>
  <c r="E9" i="33"/>
  <c r="E7" i="33"/>
  <c r="E6" i="33"/>
  <c r="E5" i="33"/>
  <c r="D12" i="33" l="1"/>
  <c r="D6" i="33"/>
  <c r="F6" i="33" s="1"/>
  <c r="D4" i="33"/>
  <c r="D9" i="33"/>
  <c r="F9" i="33" s="1"/>
  <c r="D13" i="33"/>
  <c r="D11" i="33"/>
  <c r="D7" i="33"/>
  <c r="F7" i="33" s="1"/>
  <c r="D5" i="33"/>
  <c r="F5" i="33" s="1"/>
  <c r="D8" i="33"/>
  <c r="D3" i="33"/>
  <c r="I11" i="32"/>
  <c r="E14" i="32"/>
  <c r="E13" i="32"/>
  <c r="E4" i="32"/>
  <c r="E5" i="32"/>
  <c r="E7" i="32"/>
  <c r="E10" i="32"/>
  <c r="E4" i="31"/>
  <c r="J14" i="31"/>
  <c r="C23" i="32"/>
  <c r="C24" i="32" s="1"/>
  <c r="D4" i="32" s="1"/>
  <c r="G7" i="33" l="1"/>
  <c r="F4" i="32"/>
  <c r="D15" i="33"/>
  <c r="C23" i="33" s="1"/>
  <c r="C26" i="33" s="1"/>
  <c r="F5" i="32"/>
  <c r="D3" i="32"/>
  <c r="D6" i="32"/>
  <c r="D15" i="32"/>
  <c r="D14" i="32"/>
  <c r="F14" i="32" s="1"/>
  <c r="D10" i="32"/>
  <c r="F10" i="32" s="1"/>
  <c r="D7" i="32"/>
  <c r="F7" i="32" s="1"/>
  <c r="D13" i="32"/>
  <c r="F13" i="32" s="1"/>
  <c r="D12" i="32"/>
  <c r="D9" i="32"/>
  <c r="D5" i="32"/>
  <c r="D11" i="32"/>
  <c r="D8" i="32"/>
  <c r="F15" i="32" l="1"/>
  <c r="E3" i="33"/>
  <c r="E13" i="33"/>
  <c r="F13" i="33" s="1"/>
  <c r="E12" i="33"/>
  <c r="F12" i="33" s="1"/>
  <c r="E11" i="33"/>
  <c r="F11" i="33" s="1"/>
  <c r="E8" i="33"/>
  <c r="F8" i="33" s="1"/>
  <c r="E4" i="33"/>
  <c r="F4" i="33" s="1"/>
  <c r="D17" i="32"/>
  <c r="C25" i="32" s="1"/>
  <c r="C28" i="32" s="1"/>
  <c r="E15" i="32" s="1"/>
  <c r="E15" i="33" l="1"/>
  <c r="F3" i="33"/>
  <c r="F15" i="33" s="1"/>
  <c r="E11" i="32"/>
  <c r="F11" i="32" s="1"/>
  <c r="E6" i="32"/>
  <c r="F6" i="32" s="1"/>
  <c r="E12" i="32"/>
  <c r="F12" i="32" s="1"/>
  <c r="E8" i="32"/>
  <c r="F8" i="32" s="1"/>
  <c r="E3" i="32"/>
  <c r="F3" i="32" s="1"/>
  <c r="E9" i="32"/>
  <c r="F9" i="32" s="1"/>
  <c r="F4" i="31"/>
  <c r="F5" i="31"/>
  <c r="F6" i="31"/>
  <c r="F7" i="31"/>
  <c r="F8" i="31"/>
  <c r="F9" i="31"/>
  <c r="F10" i="31"/>
  <c r="F11" i="31"/>
  <c r="F12" i="31"/>
  <c r="F13" i="31"/>
  <c r="F14" i="31"/>
  <c r="F15" i="31"/>
  <c r="F3" i="31"/>
  <c r="I23" i="31"/>
  <c r="I22" i="31"/>
  <c r="C31" i="30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3" i="31"/>
  <c r="E7" i="31"/>
  <c r="E10" i="31"/>
  <c r="E11" i="31"/>
  <c r="E14" i="31"/>
  <c r="C25" i="31"/>
  <c r="C26" i="31" s="1"/>
  <c r="D5" i="31" s="1"/>
  <c r="E17" i="32" l="1"/>
  <c r="F17" i="32"/>
  <c r="D16" i="31"/>
  <c r="D8" i="31"/>
  <c r="D15" i="31"/>
  <c r="D3" i="31"/>
  <c r="D13" i="31"/>
  <c r="D9" i="31"/>
  <c r="D6" i="31"/>
  <c r="D17" i="31"/>
  <c r="D14" i="31"/>
  <c r="D11" i="31"/>
  <c r="D4" i="31"/>
  <c r="D12" i="31"/>
  <c r="D10" i="31"/>
  <c r="D7" i="31"/>
  <c r="C27" i="30"/>
  <c r="C28" i="30" s="1"/>
  <c r="C19" i="30"/>
  <c r="E18" i="30"/>
  <c r="C18" i="30"/>
  <c r="C17" i="30"/>
  <c r="C16" i="30"/>
  <c r="C15" i="30"/>
  <c r="E14" i="30"/>
  <c r="C14" i="30"/>
  <c r="C13" i="30"/>
  <c r="E12" i="30"/>
  <c r="C12" i="30"/>
  <c r="E11" i="30"/>
  <c r="C11" i="30"/>
  <c r="E10" i="30"/>
  <c r="C10" i="30"/>
  <c r="C9" i="30"/>
  <c r="C8" i="30"/>
  <c r="E7" i="30"/>
  <c r="C7" i="30"/>
  <c r="E6" i="30"/>
  <c r="C6" i="30"/>
  <c r="E5" i="30"/>
  <c r="C5" i="30"/>
  <c r="C4" i="30"/>
  <c r="E3" i="30"/>
  <c r="C3" i="30"/>
  <c r="D19" i="31" l="1"/>
  <c r="C27" i="31" s="1"/>
  <c r="D19" i="30"/>
  <c r="D18" i="30"/>
  <c r="F18" i="30" s="1"/>
  <c r="D17" i="30"/>
  <c r="D16" i="30"/>
  <c r="D15" i="30"/>
  <c r="D14" i="30"/>
  <c r="F14" i="30" s="1"/>
  <c r="D12" i="30"/>
  <c r="F12" i="30" s="1"/>
  <c r="D11" i="30"/>
  <c r="F11" i="30" s="1"/>
  <c r="D8" i="30"/>
  <c r="D6" i="30"/>
  <c r="F6" i="30" s="1"/>
  <c r="D3" i="30"/>
  <c r="D13" i="30"/>
  <c r="D10" i="30"/>
  <c r="F10" i="30" s="1"/>
  <c r="D9" i="30"/>
  <c r="D7" i="30"/>
  <c r="F7" i="30" s="1"/>
  <c r="D5" i="30"/>
  <c r="F5" i="30" s="1"/>
  <c r="D4" i="30"/>
  <c r="C31" i="28"/>
  <c r="C27" i="28"/>
  <c r="C28" i="28" s="1"/>
  <c r="C19" i="28"/>
  <c r="E18" i="28"/>
  <c r="C18" i="28"/>
  <c r="E17" i="28"/>
  <c r="C17" i="28"/>
  <c r="E16" i="28"/>
  <c r="C16" i="28"/>
  <c r="C15" i="28"/>
  <c r="C14" i="28"/>
  <c r="E13" i="28"/>
  <c r="C13" i="28"/>
  <c r="E12" i="28"/>
  <c r="C12" i="28"/>
  <c r="E11" i="28"/>
  <c r="C11" i="28"/>
  <c r="C10" i="28"/>
  <c r="E9" i="28"/>
  <c r="C9" i="28"/>
  <c r="C8" i="28"/>
  <c r="C7" i="28"/>
  <c r="E6" i="28"/>
  <c r="C6" i="28"/>
  <c r="C5" i="28"/>
  <c r="E4" i="28"/>
  <c r="C3" i="28"/>
  <c r="C30" i="31" l="1"/>
  <c r="E3" i="31" s="1"/>
  <c r="D21" i="30"/>
  <c r="C29" i="30" s="1"/>
  <c r="F3" i="30"/>
  <c r="D19" i="28"/>
  <c r="D18" i="28"/>
  <c r="F18" i="28" s="1"/>
  <c r="D17" i="28"/>
  <c r="F17" i="28" s="1"/>
  <c r="D16" i="28"/>
  <c r="F16" i="28" s="1"/>
  <c r="D15" i="28"/>
  <c r="D14" i="28"/>
  <c r="D13" i="28"/>
  <c r="F13" i="28" s="1"/>
  <c r="D12" i="28"/>
  <c r="F12" i="28" s="1"/>
  <c r="D11" i="28"/>
  <c r="F11" i="28" s="1"/>
  <c r="D10" i="28"/>
  <c r="D9" i="28"/>
  <c r="F9" i="28" s="1"/>
  <c r="D8" i="28"/>
  <c r="D7" i="28"/>
  <c r="D6" i="28"/>
  <c r="F6" i="28" s="1"/>
  <c r="D5" i="28"/>
  <c r="D4" i="28"/>
  <c r="F4" i="28" s="1"/>
  <c r="D3" i="28"/>
  <c r="C32" i="27"/>
  <c r="C28" i="27"/>
  <c r="C29" i="27" s="1"/>
  <c r="C20" i="27"/>
  <c r="C19" i="27"/>
  <c r="E18" i="27"/>
  <c r="C18" i="27"/>
  <c r="E17" i="27"/>
  <c r="C17" i="27"/>
  <c r="E16" i="27"/>
  <c r="C16" i="27"/>
  <c r="E15" i="27"/>
  <c r="C15" i="27"/>
  <c r="C14" i="27"/>
  <c r="E13" i="27"/>
  <c r="C13" i="27"/>
  <c r="C12" i="27"/>
  <c r="E11" i="27"/>
  <c r="C11" i="27"/>
  <c r="E10" i="27"/>
  <c r="C10" i="27"/>
  <c r="C9" i="27"/>
  <c r="C8" i="27"/>
  <c r="C7" i="27"/>
  <c r="C6" i="27"/>
  <c r="C5" i="27"/>
  <c r="E4" i="27"/>
  <c r="C4" i="27"/>
  <c r="C3" i="27"/>
  <c r="E6" i="31" l="1"/>
  <c r="E12" i="31"/>
  <c r="E5" i="31"/>
  <c r="E9" i="31"/>
  <c r="E16" i="31"/>
  <c r="F16" i="31" s="1"/>
  <c r="E13" i="31"/>
  <c r="E8" i="31"/>
  <c r="E15" i="31"/>
  <c r="E17" i="31"/>
  <c r="F17" i="31" s="1"/>
  <c r="C32" i="30"/>
  <c r="D21" i="28"/>
  <c r="C29" i="28" s="1"/>
  <c r="D20" i="27"/>
  <c r="D19" i="27"/>
  <c r="D18" i="27"/>
  <c r="F18" i="27" s="1"/>
  <c r="D17" i="27"/>
  <c r="F17" i="27" s="1"/>
  <c r="D16" i="27"/>
  <c r="F16" i="27" s="1"/>
  <c r="D15" i="27"/>
  <c r="F15" i="27" s="1"/>
  <c r="D14" i="27"/>
  <c r="D13" i="27"/>
  <c r="F13" i="27" s="1"/>
  <c r="D12" i="27"/>
  <c r="D11" i="27"/>
  <c r="F11" i="27" s="1"/>
  <c r="D10" i="27"/>
  <c r="F10" i="27" s="1"/>
  <c r="D9" i="27"/>
  <c r="D8" i="27"/>
  <c r="D7" i="27"/>
  <c r="D6" i="27"/>
  <c r="D5" i="27"/>
  <c r="D4" i="27"/>
  <c r="F4" i="27" s="1"/>
  <c r="D3" i="27"/>
  <c r="C32" i="25"/>
  <c r="C28" i="25"/>
  <c r="C29" i="25" s="1"/>
  <c r="E20" i="25"/>
  <c r="C20" i="25"/>
  <c r="E19" i="25"/>
  <c r="C19" i="25"/>
  <c r="E18" i="25"/>
  <c r="C18" i="25"/>
  <c r="C17" i="25"/>
  <c r="E16" i="25"/>
  <c r="C16" i="25"/>
  <c r="C15" i="25"/>
  <c r="C14" i="25"/>
  <c r="E13" i="25"/>
  <c r="C13" i="25"/>
  <c r="E12" i="25"/>
  <c r="C12" i="25"/>
  <c r="E11" i="25"/>
  <c r="C11" i="25"/>
  <c r="C10" i="25"/>
  <c r="C9" i="25"/>
  <c r="C8" i="25"/>
  <c r="E7" i="25"/>
  <c r="C7" i="25"/>
  <c r="E6" i="25"/>
  <c r="C6" i="25"/>
  <c r="C5" i="25"/>
  <c r="E4" i="25"/>
  <c r="C4" i="25"/>
  <c r="E19" i="31" l="1"/>
  <c r="E27" i="31" s="1"/>
  <c r="F19" i="31"/>
  <c r="E17" i="30"/>
  <c r="F17" i="30" s="1"/>
  <c r="E19" i="30"/>
  <c r="F19" i="30" s="1"/>
  <c r="E15" i="30"/>
  <c r="F15" i="30" s="1"/>
  <c r="E16" i="30"/>
  <c r="F16" i="30" s="1"/>
  <c r="E9" i="30"/>
  <c r="F9" i="30" s="1"/>
  <c r="E13" i="30"/>
  <c r="F13" i="30" s="1"/>
  <c r="E4" i="30"/>
  <c r="E8" i="30"/>
  <c r="F8" i="30" s="1"/>
  <c r="C32" i="28"/>
  <c r="D22" i="27"/>
  <c r="C30" i="27" s="1"/>
  <c r="D20" i="25"/>
  <c r="F20" i="25" s="1"/>
  <c r="D19" i="25"/>
  <c r="F19" i="25" s="1"/>
  <c r="D18" i="25"/>
  <c r="F18" i="25" s="1"/>
  <c r="D17" i="25"/>
  <c r="D16" i="25"/>
  <c r="F16" i="25" s="1"/>
  <c r="D15" i="25"/>
  <c r="D14" i="25"/>
  <c r="D13" i="25"/>
  <c r="F13" i="25" s="1"/>
  <c r="D12" i="25"/>
  <c r="F12" i="25" s="1"/>
  <c r="D11" i="25"/>
  <c r="F11" i="25" s="1"/>
  <c r="D10" i="25"/>
  <c r="D9" i="25"/>
  <c r="D8" i="25"/>
  <c r="D7" i="25"/>
  <c r="F7" i="25" s="1"/>
  <c r="D6" i="25"/>
  <c r="F6" i="25" s="1"/>
  <c r="D5" i="25"/>
  <c r="D4" i="25"/>
  <c r="F4" i="25" s="1"/>
  <c r="D3" i="25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E5" i="23"/>
  <c r="E6" i="23"/>
  <c r="E8" i="23"/>
  <c r="E10" i="23"/>
  <c r="E11" i="23"/>
  <c r="E13" i="23"/>
  <c r="E14" i="23"/>
  <c r="E15" i="23"/>
  <c r="E20" i="23"/>
  <c r="E4" i="23"/>
  <c r="C32" i="23"/>
  <c r="F24" i="31" l="1"/>
  <c r="E21" i="30"/>
  <c r="E29" i="30" s="1"/>
  <c r="F4" i="30"/>
  <c r="F21" i="30" s="1"/>
  <c r="F26" i="30" s="1"/>
  <c r="E15" i="28"/>
  <c r="F15" i="28" s="1"/>
  <c r="E10" i="28"/>
  <c r="F10" i="28" s="1"/>
  <c r="E3" i="28"/>
  <c r="E19" i="28"/>
  <c r="F19" i="28" s="1"/>
  <c r="E14" i="28"/>
  <c r="F14" i="28" s="1"/>
  <c r="E8" i="28"/>
  <c r="F8" i="28" s="1"/>
  <c r="E7" i="28"/>
  <c r="F7" i="28" s="1"/>
  <c r="E5" i="28"/>
  <c r="F5" i="28" s="1"/>
  <c r="C33" i="27"/>
  <c r="D22" i="25"/>
  <c r="C30" i="25" s="1"/>
  <c r="D4" i="23"/>
  <c r="F4" i="23" s="1"/>
  <c r="D5" i="23"/>
  <c r="F5" i="23" s="1"/>
  <c r="D8" i="23"/>
  <c r="F8" i="23" s="1"/>
  <c r="D9" i="23"/>
  <c r="D12" i="23"/>
  <c r="D13" i="23"/>
  <c r="F13" i="23" s="1"/>
  <c r="D16" i="23"/>
  <c r="D17" i="23"/>
  <c r="D20" i="23"/>
  <c r="F20" i="23" s="1"/>
  <c r="D3" i="23"/>
  <c r="C3" i="23"/>
  <c r="C28" i="23"/>
  <c r="C29" i="23" s="1"/>
  <c r="D6" i="23" s="1"/>
  <c r="F6" i="23" s="1"/>
  <c r="E21" i="28" l="1"/>
  <c r="E29" i="28" s="1"/>
  <c r="F3" i="28"/>
  <c r="F21" i="28" s="1"/>
  <c r="F26" i="28" s="1"/>
  <c r="E12" i="27"/>
  <c r="F12" i="27" s="1"/>
  <c r="E6" i="27"/>
  <c r="F6" i="27" s="1"/>
  <c r="E14" i="27"/>
  <c r="F14" i="27" s="1"/>
  <c r="E20" i="27"/>
  <c r="F20" i="27" s="1"/>
  <c r="E9" i="27"/>
  <c r="F9" i="27" s="1"/>
  <c r="E19" i="27"/>
  <c r="F19" i="27" s="1"/>
  <c r="E7" i="27"/>
  <c r="F7" i="27" s="1"/>
  <c r="E8" i="27"/>
  <c r="F8" i="27" s="1"/>
  <c r="E3" i="27"/>
  <c r="E5" i="27"/>
  <c r="F5" i="27" s="1"/>
  <c r="C33" i="25"/>
  <c r="D19" i="23"/>
  <c r="D15" i="23"/>
  <c r="F15" i="23" s="1"/>
  <c r="D11" i="23"/>
  <c r="F11" i="23" s="1"/>
  <c r="D7" i="23"/>
  <c r="D18" i="23"/>
  <c r="D14" i="23"/>
  <c r="F14" i="23" s="1"/>
  <c r="D10" i="23"/>
  <c r="F10" i="23" s="1"/>
  <c r="E22" i="27" l="1"/>
  <c r="E30" i="27" s="1"/>
  <c r="F3" i="27"/>
  <c r="F22" i="27" s="1"/>
  <c r="F27" i="27" s="1"/>
  <c r="E15" i="25"/>
  <c r="F15" i="25" s="1"/>
  <c r="E17" i="25"/>
  <c r="F17" i="25" s="1"/>
  <c r="E10" i="25"/>
  <c r="F10" i="25" s="1"/>
  <c r="E14" i="25"/>
  <c r="F14" i="25" s="1"/>
  <c r="E8" i="25"/>
  <c r="F8" i="25" s="1"/>
  <c r="E9" i="25"/>
  <c r="F9" i="25" s="1"/>
  <c r="E3" i="25"/>
  <c r="F3" i="25" s="1"/>
  <c r="E5" i="25"/>
  <c r="F5" i="25" s="1"/>
  <c r="D22" i="23"/>
  <c r="C30" i="23" s="1"/>
  <c r="C33" i="23"/>
  <c r="E3" i="23" s="1"/>
  <c r="F3" i="23" s="1"/>
  <c r="F22" i="25" l="1"/>
  <c r="F27" i="25" s="1"/>
  <c r="E22" i="25"/>
  <c r="E30" i="25" s="1"/>
  <c r="E12" i="23"/>
  <c r="F12" i="23" s="1"/>
  <c r="E16" i="23"/>
  <c r="F16" i="23" s="1"/>
  <c r="E18" i="23"/>
  <c r="F18" i="23" s="1"/>
  <c r="E9" i="23"/>
  <c r="F9" i="23" s="1"/>
  <c r="E17" i="23"/>
  <c r="F17" i="23" s="1"/>
  <c r="E7" i="23"/>
  <c r="E19" i="23"/>
  <c r="F19" i="23" s="1"/>
  <c r="F7" i="23" l="1"/>
  <c r="F22" i="23" s="1"/>
  <c r="F27" i="23" s="1"/>
  <c r="E22" i="23"/>
  <c r="E30" i="23" s="1"/>
  <c r="C23" i="35" l="1"/>
  <c r="C26" i="35" s="1"/>
  <c r="E14" i="35" l="1"/>
  <c r="F14" i="35" s="1"/>
  <c r="E7" i="35"/>
  <c r="E11" i="35"/>
  <c r="F11" i="35" s="1"/>
  <c r="E8" i="35"/>
  <c r="F8" i="35" s="1"/>
  <c r="E12" i="35"/>
  <c r="F12" i="35" s="1"/>
  <c r="E5" i="35"/>
  <c r="F5" i="35" s="1"/>
  <c r="E13" i="35"/>
  <c r="F13" i="35" s="1"/>
  <c r="E10" i="35"/>
  <c r="F10" i="35" s="1"/>
  <c r="F3" i="35"/>
  <c r="F7" i="35"/>
  <c r="F15" i="35" l="1"/>
  <c r="C21" i="38" l="1"/>
  <c r="C22" i="38" s="1"/>
  <c r="D11" i="38" l="1"/>
  <c r="D9" i="38"/>
  <c r="F9" i="38" s="1"/>
  <c r="D3" i="38"/>
  <c r="D10" i="38"/>
  <c r="D7" i="38"/>
  <c r="F7" i="38" s="1"/>
  <c r="F8" i="38"/>
  <c r="D6" i="38"/>
  <c r="F6" i="38" s="1"/>
  <c r="D14" i="38"/>
  <c r="D5" i="38"/>
  <c r="D12" i="38"/>
  <c r="D13" i="38"/>
  <c r="F13" i="38" s="1"/>
  <c r="D4" i="38"/>
  <c r="D15" i="38" l="1"/>
  <c r="C23" i="38" s="1"/>
  <c r="C26" i="38" s="1"/>
  <c r="E14" i="38" l="1"/>
  <c r="F14" i="38" s="1"/>
  <c r="E4" i="38"/>
  <c r="F4" i="38" s="1"/>
  <c r="E12" i="38"/>
  <c r="F12" i="38" s="1"/>
  <c r="E3" i="38"/>
  <c r="F3" i="38" s="1"/>
  <c r="E10" i="38"/>
  <c r="F10" i="38" s="1"/>
  <c r="E11" i="38"/>
  <c r="F11" i="38" s="1"/>
  <c r="E5" i="38"/>
  <c r="F5" i="38" s="1"/>
  <c r="F15" i="38" l="1"/>
  <c r="D3" i="39"/>
  <c r="D14" i="39" l="1"/>
  <c r="D10" i="39"/>
  <c r="D5" i="39"/>
  <c r="D13" i="39"/>
  <c r="F13" i="39" s="1"/>
  <c r="D8" i="39"/>
  <c r="D4" i="39"/>
  <c r="D12" i="39"/>
  <c r="D7" i="39"/>
  <c r="D11" i="39"/>
  <c r="D6" i="39"/>
  <c r="F6" i="39" s="1"/>
  <c r="D15" i="39" l="1"/>
  <c r="C21" i="39" s="1"/>
  <c r="C24" i="39" s="1"/>
  <c r="F4" i="39" l="1"/>
  <c r="E3" i="39"/>
  <c r="F8" i="39"/>
  <c r="F12" i="39"/>
  <c r="F3" i="39"/>
  <c r="F10" i="39"/>
  <c r="F11" i="39"/>
  <c r="F5" i="39"/>
  <c r="F14" i="39"/>
  <c r="F7" i="39"/>
  <c r="F15" i="39" l="1"/>
  <c r="F9" i="96" l="1"/>
  <c r="F8" i="96" l="1"/>
  <c r="D16" i="96"/>
  <c r="C22" i="96" s="1"/>
  <c r="C25" i="96" s="1"/>
  <c r="E5" i="96" l="1"/>
  <c r="F5" i="96" s="1"/>
  <c r="E12" i="96"/>
  <c r="F12" i="96" s="1"/>
  <c r="E3" i="96"/>
  <c r="F3" i="96" s="1"/>
  <c r="E7" i="96"/>
  <c r="F7" i="96" s="1"/>
  <c r="E4" i="96"/>
  <c r="F4" i="96" s="1"/>
  <c r="E11" i="96"/>
  <c r="F11" i="96" s="1"/>
  <c r="E15" i="96"/>
  <c r="F15" i="96" s="1"/>
  <c r="E10" i="96"/>
  <c r="F10" i="96" s="1"/>
  <c r="E6" i="96"/>
  <c r="F6" i="96" s="1"/>
  <c r="F16" i="96" l="1"/>
  <c r="C25" i="43"/>
  <c r="D12" i="43"/>
  <c r="D16" i="43"/>
  <c r="C22" i="43"/>
</calcChain>
</file>

<file path=xl/sharedStrings.xml><?xml version="1.0" encoding="utf-8"?>
<sst xmlns="http://schemas.openxmlformats.org/spreadsheetml/2006/main" count="606" uniqueCount="59">
  <si>
    <t>DIAS TRABAJADOS</t>
  </si>
  <si>
    <t>DIAS QUE FALTO</t>
  </si>
  <si>
    <t>PROPINAS ENTRE EL # DE GSA</t>
  </si>
  <si>
    <t xml:space="preserve">VALOR PROPINA POR DIA </t>
  </si>
  <si>
    <t>TOTAL PROPINAS REPORTADAS</t>
  </si>
  <si>
    <t>KAREN PEREZ</t>
  </si>
  <si>
    <t>ADAM MENDOZA</t>
  </si>
  <si>
    <t>ALEIDA CAMARGO</t>
  </si>
  <si>
    <t>KAREN CORTABARRIA</t>
  </si>
  <si>
    <t>MARIA JOSE MARTINEZ</t>
  </si>
  <si>
    <t>PAULA OSORIO</t>
  </si>
  <si>
    <t xml:space="preserve">YULIETH VALDERRAMA </t>
  </si>
  <si>
    <t xml:space="preserve">YOHANA GUARIN </t>
  </si>
  <si>
    <t>VALOR POR GSA</t>
  </si>
  <si>
    <t>TOTAL GSA'S</t>
  </si>
  <si>
    <t xml:space="preserve">LUZ ROMERO </t>
  </si>
  <si>
    <t xml:space="preserve">ISABELLA MENDOZA </t>
  </si>
  <si>
    <t xml:space="preserve">JANNY RODRIGUEZ </t>
  </si>
  <si>
    <t xml:space="preserve">DANIEL GUARDO </t>
  </si>
  <si>
    <t xml:space="preserve">JENNIFER DIAGO </t>
  </si>
  <si>
    <t xml:space="preserve">IRINA ANGARITA </t>
  </si>
  <si>
    <t xml:space="preserve">DIANA GOMEZ </t>
  </si>
  <si>
    <t>ANDREA OVIEDO</t>
  </si>
  <si>
    <t>ANDY  CASTRO</t>
  </si>
  <si>
    <t>DALYS RAMIREZ</t>
  </si>
  <si>
    <t>SOBRANTE</t>
  </si>
  <si>
    <t>PERSONAS TRABAJAN 15 DIAS</t>
  </si>
  <si>
    <t>BONO 15 DIAS</t>
  </si>
  <si>
    <t>NETO A PAGAR</t>
  </si>
  <si>
    <t>GSA</t>
  </si>
  <si>
    <t>VAL BONO 15 DIAS</t>
  </si>
  <si>
    <t>TOTAL VAL DIA/DIAS TRAB</t>
  </si>
  <si>
    <t>LIQUIDADRO DE PROPINAS GSA</t>
  </si>
  <si>
    <t>LIQUIDACION DE PROPINAS GSA</t>
  </si>
  <si>
    <t xml:space="preserve">                                      </t>
  </si>
  <si>
    <t>JANNY RODRIGUEZ</t>
  </si>
  <si>
    <t xml:space="preserve">JENIFER DIAGO </t>
  </si>
  <si>
    <t xml:space="preserve">MARIA JOSE </t>
  </si>
  <si>
    <t>DANIEL GUARDO</t>
  </si>
  <si>
    <t xml:space="preserve">ANDY CASTRO </t>
  </si>
  <si>
    <t xml:space="preserve">PAULA OSORIO </t>
  </si>
  <si>
    <t>DALIS RAMIREZ</t>
  </si>
  <si>
    <t>SARA ROMANO</t>
  </si>
  <si>
    <t>STEPHANIE MUVDI</t>
  </si>
  <si>
    <t>STEFANNY LENE</t>
  </si>
  <si>
    <t>LAURA SALCEDO</t>
  </si>
  <si>
    <t>DAYTANIA MORENO</t>
  </si>
  <si>
    <t>PERSONAS TRABAJAN 16 DIAS</t>
  </si>
  <si>
    <t>VAL BONO 16 DIAS</t>
  </si>
  <si>
    <t>MARIA MARTINEZ</t>
  </si>
  <si>
    <t>JHONATAN SIBAJA</t>
  </si>
  <si>
    <t>CARLOS SANJUAN</t>
  </si>
  <si>
    <t>LIQUIDADRO DE PROPINAS GSA &amp; SUPERVISORES</t>
  </si>
  <si>
    <t xml:space="preserve">JESUS </t>
  </si>
  <si>
    <t>BONO</t>
  </si>
  <si>
    <t>VAL BONO</t>
  </si>
  <si>
    <t>JESUS</t>
  </si>
  <si>
    <t>ZULE</t>
  </si>
  <si>
    <t>JESUS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</si>
</sst>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00_);_(&quot;$&quot;* \(#,##0.0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1" xfId="0" applyBorder="1"/>
    <xf numFmtId="0" fontId="0" fillId="0" borderId="0" xfId="0" applyBorder="1"/>
    <xf numFmtId="44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" fontId="0" fillId="0" borderId="1" xfId="1" applyNumberFormat="1" applyFont="1" applyBorder="1"/>
    <xf numFmtId="164" fontId="2" fillId="0" borderId="1" xfId="1" applyNumberFormat="1" applyFont="1" applyBorder="1"/>
    <xf numFmtId="164" fontId="2" fillId="0" borderId="1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0" xfId="0" applyNumberFormat="1" applyFont="1"/>
    <xf numFmtId="0" fontId="2" fillId="3" borderId="1" xfId="0" applyFont="1" applyFill="1" applyBorder="1" applyAlignment="1">
      <alignment horizontal="center"/>
    </xf>
    <xf numFmtId="1" fontId="0" fillId="0" borderId="1" xfId="1" applyNumberFormat="1" applyFont="1" applyFill="1" applyBorder="1"/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/>
    <xf numFmtId="44" fontId="0" fillId="0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4" fontId="0" fillId="0" borderId="1" xfId="0" applyNumberFormat="1" applyBorder="1"/>
    <xf numFmtId="0" fontId="2" fillId="5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Fill="1" applyBorder="1"/>
    <xf numFmtId="0" fontId="2" fillId="6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8" borderId="1" xfId="0" applyFont="1" applyFill="1" applyBorder="1"/>
    <xf numFmtId="0" fontId="0" fillId="7" borderId="1" xfId="0" applyFill="1" applyBorder="1" applyAlignment="1">
      <alignment horizontal="center"/>
    </xf>
    <xf numFmtId="44" fontId="2" fillId="0" borderId="1" xfId="0" applyNumberFormat="1" applyFont="1" applyBorder="1"/>
    <xf numFmtId="0" fontId="3" fillId="9" borderId="1" xfId="0" applyFont="1" applyFill="1" applyBorder="1"/>
    <xf numFmtId="0" fontId="2" fillId="9" borderId="1" xfId="0" applyFont="1" applyFill="1" applyBorder="1" applyAlignment="1">
      <alignment horizontal="center"/>
    </xf>
    <xf numFmtId="44" fontId="5" fillId="9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3" fillId="10" borderId="1" xfId="0" applyFont="1" applyFill="1" applyBorder="1"/>
    <xf numFmtId="0" fontId="0" fillId="11" borderId="1" xfId="0" applyFill="1" applyBorder="1" applyAlignment="1">
      <alignment horizontal="center"/>
    </xf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3" fillId="12" borderId="1" xfId="0" applyFont="1" applyFill="1" applyBorder="1"/>
    <xf numFmtId="44" fontId="0" fillId="9" borderId="1" xfId="0" applyNumberFormat="1" applyFill="1" applyBorder="1"/>
    <xf numFmtId="0" fontId="3" fillId="13" borderId="1" xfId="0" applyFont="1" applyFill="1" applyBorder="1"/>
    <xf numFmtId="0" fontId="2" fillId="14" borderId="1" xfId="0" applyFont="1" applyFill="1" applyBorder="1" applyAlignment="1">
      <alignment horizontal="center"/>
    </xf>
    <xf numFmtId="44" fontId="5" fillId="14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44" fontId="0" fillId="14" borderId="1" xfId="0" applyNumberFormat="1" applyFill="1" applyBorder="1"/>
    <xf numFmtId="0" fontId="2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14" borderId="1" xfId="0" applyNumberFormat="1" applyFill="1" applyBorder="1"/>
    <xf numFmtId="164" fontId="5" fillId="14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4" fontId="0" fillId="9" borderId="1" xfId="0" applyNumberFormat="1" applyFill="1" applyBorder="1"/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4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E27" sqref="E27"/>
    </sheetView>
  </sheetViews>
  <sheetFormatPr defaultRowHeight="15" x14ac:dyDescent="0.25"/>
  <cols>
    <col min="1" max="1" width="21.5703125" bestFit="1" customWidth="1"/>
    <col min="2" max="2" width="19" customWidth="1"/>
    <col min="3" max="3" width="15.5703125" bestFit="1" customWidth="1"/>
    <col min="4" max="4" width="15.42578125" bestFit="1" customWidth="1"/>
    <col min="5" max="5" width="13.5703125" bestFit="1" customWidth="1"/>
    <col min="6" max="6" width="14.42578125" bestFit="1" customWidth="1"/>
    <col min="9" max="9" width="16.28515625" bestFit="1" customWidth="1"/>
  </cols>
  <sheetData>
    <row r="1" spans="1:9" x14ac:dyDescent="0.25">
      <c r="A1" s="84" t="s">
        <v>32</v>
      </c>
      <c r="B1" s="84"/>
      <c r="C1" s="84"/>
      <c r="D1" s="84"/>
      <c r="E1" s="84"/>
      <c r="F1" s="84"/>
    </row>
    <row r="2" spans="1:9" x14ac:dyDescent="0.25">
      <c r="A2" s="6" t="s">
        <v>29</v>
      </c>
      <c r="B2" s="6" t="s">
        <v>0</v>
      </c>
      <c r="C2" s="6" t="s">
        <v>1</v>
      </c>
      <c r="D2" s="6" t="s">
        <v>13</v>
      </c>
      <c r="E2" s="12" t="s">
        <v>27</v>
      </c>
      <c r="F2" s="12" t="s">
        <v>28</v>
      </c>
      <c r="I2" s="2"/>
    </row>
    <row r="3" spans="1:9" x14ac:dyDescent="0.25">
      <c r="A3" s="1" t="s">
        <v>6</v>
      </c>
      <c r="B3" s="8"/>
      <c r="C3" s="8">
        <f>15-B3</f>
        <v>15</v>
      </c>
      <c r="D3" s="4">
        <f>B3*C$29</f>
        <v>0</v>
      </c>
      <c r="E3" s="16">
        <f t="shared" ref="E3:E20" si="0">IF(B3=15,(C$33),0)</f>
        <v>0</v>
      </c>
      <c r="F3" s="4">
        <f>D3+E3</f>
        <v>0</v>
      </c>
    </row>
    <row r="4" spans="1:9" x14ac:dyDescent="0.25">
      <c r="A4" s="1" t="s">
        <v>7</v>
      </c>
      <c r="B4" s="8"/>
      <c r="C4" s="11">
        <f t="shared" ref="C4:C20" si="1">15-B4</f>
        <v>15</v>
      </c>
      <c r="D4" s="4">
        <f t="shared" ref="D4:D20" si="2">B4*C$29</f>
        <v>0</v>
      </c>
      <c r="E4" s="16">
        <f t="shared" si="0"/>
        <v>0</v>
      </c>
      <c r="F4" s="4">
        <f t="shared" ref="F4:F20" si="3">D4+E4</f>
        <v>0</v>
      </c>
    </row>
    <row r="5" spans="1:9" x14ac:dyDescent="0.25">
      <c r="A5" s="1" t="s">
        <v>22</v>
      </c>
      <c r="B5" s="8"/>
      <c r="C5" s="11">
        <f t="shared" si="1"/>
        <v>15</v>
      </c>
      <c r="D5" s="4">
        <f t="shared" si="2"/>
        <v>0</v>
      </c>
      <c r="E5" s="16">
        <f t="shared" si="0"/>
        <v>0</v>
      </c>
      <c r="F5" s="4">
        <f t="shared" si="3"/>
        <v>0</v>
      </c>
    </row>
    <row r="6" spans="1:9" x14ac:dyDescent="0.25">
      <c r="A6" s="1" t="s">
        <v>23</v>
      </c>
      <c r="B6" s="8"/>
      <c r="C6" s="11">
        <f t="shared" si="1"/>
        <v>15</v>
      </c>
      <c r="D6" s="4">
        <f t="shared" si="2"/>
        <v>0</v>
      </c>
      <c r="E6" s="16">
        <f t="shared" si="0"/>
        <v>0</v>
      </c>
      <c r="F6" s="4">
        <f t="shared" si="3"/>
        <v>0</v>
      </c>
    </row>
    <row r="7" spans="1:9" x14ac:dyDescent="0.25">
      <c r="A7" s="1" t="s">
        <v>24</v>
      </c>
      <c r="B7" s="8"/>
      <c r="C7" s="11">
        <f t="shared" si="1"/>
        <v>15</v>
      </c>
      <c r="D7" s="4">
        <f t="shared" si="2"/>
        <v>0</v>
      </c>
      <c r="E7" s="16">
        <f t="shared" si="0"/>
        <v>0</v>
      </c>
      <c r="F7" s="4">
        <f t="shared" si="3"/>
        <v>0</v>
      </c>
    </row>
    <row r="8" spans="1:9" x14ac:dyDescent="0.25">
      <c r="A8" s="1" t="s">
        <v>18</v>
      </c>
      <c r="B8" s="8"/>
      <c r="C8" s="11">
        <f t="shared" si="1"/>
        <v>15</v>
      </c>
      <c r="D8" s="4">
        <f t="shared" si="2"/>
        <v>0</v>
      </c>
      <c r="E8" s="16">
        <f t="shared" si="0"/>
        <v>0</v>
      </c>
      <c r="F8" s="4">
        <f t="shared" si="3"/>
        <v>0</v>
      </c>
    </row>
    <row r="9" spans="1:9" x14ac:dyDescent="0.25">
      <c r="A9" s="1" t="s">
        <v>21</v>
      </c>
      <c r="B9" s="8"/>
      <c r="C9" s="11">
        <f t="shared" si="1"/>
        <v>15</v>
      </c>
      <c r="D9" s="4">
        <f t="shared" si="2"/>
        <v>0</v>
      </c>
      <c r="E9" s="16">
        <f t="shared" si="0"/>
        <v>0</v>
      </c>
      <c r="F9" s="4">
        <f t="shared" si="3"/>
        <v>0</v>
      </c>
    </row>
    <row r="10" spans="1:9" x14ac:dyDescent="0.25">
      <c r="A10" s="1" t="s">
        <v>20</v>
      </c>
      <c r="B10" s="8"/>
      <c r="C10" s="11">
        <f t="shared" si="1"/>
        <v>15</v>
      </c>
      <c r="D10" s="4">
        <f t="shared" si="2"/>
        <v>0</v>
      </c>
      <c r="E10" s="16">
        <f t="shared" si="0"/>
        <v>0</v>
      </c>
      <c r="F10" s="4">
        <f t="shared" si="3"/>
        <v>0</v>
      </c>
    </row>
    <row r="11" spans="1:9" x14ac:dyDescent="0.25">
      <c r="A11" s="1" t="s">
        <v>16</v>
      </c>
      <c r="B11" s="8"/>
      <c r="C11" s="11">
        <f t="shared" si="1"/>
        <v>15</v>
      </c>
      <c r="D11" s="4">
        <f t="shared" si="2"/>
        <v>0</v>
      </c>
      <c r="E11" s="16">
        <f t="shared" si="0"/>
        <v>0</v>
      </c>
      <c r="F11" s="4">
        <f t="shared" si="3"/>
        <v>0</v>
      </c>
    </row>
    <row r="12" spans="1:9" x14ac:dyDescent="0.25">
      <c r="A12" s="1" t="s">
        <v>17</v>
      </c>
      <c r="B12" s="8"/>
      <c r="C12" s="11">
        <f t="shared" si="1"/>
        <v>15</v>
      </c>
      <c r="D12" s="4">
        <f t="shared" si="2"/>
        <v>0</v>
      </c>
      <c r="E12" s="16">
        <f t="shared" si="0"/>
        <v>0</v>
      </c>
      <c r="F12" s="4">
        <f t="shared" si="3"/>
        <v>0</v>
      </c>
    </row>
    <row r="13" spans="1:9" x14ac:dyDescent="0.25">
      <c r="A13" s="1" t="s">
        <v>19</v>
      </c>
      <c r="B13" s="8"/>
      <c r="C13" s="11">
        <f t="shared" si="1"/>
        <v>15</v>
      </c>
      <c r="D13" s="4">
        <f t="shared" si="2"/>
        <v>0</v>
      </c>
      <c r="E13" s="16">
        <f t="shared" si="0"/>
        <v>0</v>
      </c>
      <c r="F13" s="4">
        <f t="shared" si="3"/>
        <v>0</v>
      </c>
    </row>
    <row r="14" spans="1:9" x14ac:dyDescent="0.25">
      <c r="A14" s="1" t="s">
        <v>8</v>
      </c>
      <c r="B14" s="8"/>
      <c r="C14" s="11">
        <f t="shared" si="1"/>
        <v>15</v>
      </c>
      <c r="D14" s="4">
        <f t="shared" si="2"/>
        <v>0</v>
      </c>
      <c r="E14" s="16">
        <f t="shared" si="0"/>
        <v>0</v>
      </c>
      <c r="F14" s="4">
        <f t="shared" si="3"/>
        <v>0</v>
      </c>
    </row>
    <row r="15" spans="1:9" x14ac:dyDescent="0.25">
      <c r="A15" s="1" t="s">
        <v>5</v>
      </c>
      <c r="B15" s="8"/>
      <c r="C15" s="11">
        <f t="shared" si="1"/>
        <v>15</v>
      </c>
      <c r="D15" s="4">
        <f t="shared" si="2"/>
        <v>0</v>
      </c>
      <c r="E15" s="16">
        <f t="shared" si="0"/>
        <v>0</v>
      </c>
      <c r="F15" s="4">
        <f t="shared" si="3"/>
        <v>0</v>
      </c>
    </row>
    <row r="16" spans="1:9" x14ac:dyDescent="0.25">
      <c r="A16" s="1" t="s">
        <v>15</v>
      </c>
      <c r="B16" s="8"/>
      <c r="C16" s="11">
        <f t="shared" si="1"/>
        <v>15</v>
      </c>
      <c r="D16" s="4">
        <f t="shared" si="2"/>
        <v>0</v>
      </c>
      <c r="E16" s="16">
        <f t="shared" si="0"/>
        <v>0</v>
      </c>
      <c r="F16" s="4">
        <f t="shared" si="3"/>
        <v>0</v>
      </c>
    </row>
    <row r="17" spans="1:6" x14ac:dyDescent="0.25">
      <c r="A17" s="1" t="s">
        <v>9</v>
      </c>
      <c r="B17" s="8"/>
      <c r="C17" s="11">
        <f t="shared" si="1"/>
        <v>15</v>
      </c>
      <c r="D17" s="4">
        <f t="shared" si="2"/>
        <v>0</v>
      </c>
      <c r="E17" s="16">
        <f t="shared" si="0"/>
        <v>0</v>
      </c>
      <c r="F17" s="4">
        <f t="shared" si="3"/>
        <v>0</v>
      </c>
    </row>
    <row r="18" spans="1:6" x14ac:dyDescent="0.25">
      <c r="A18" s="7" t="s">
        <v>10</v>
      </c>
      <c r="B18" s="8"/>
      <c r="C18" s="11">
        <f t="shared" si="1"/>
        <v>15</v>
      </c>
      <c r="D18" s="4">
        <f t="shared" si="2"/>
        <v>0</v>
      </c>
      <c r="E18" s="16">
        <f t="shared" si="0"/>
        <v>0</v>
      </c>
      <c r="F18" s="4">
        <f t="shared" si="3"/>
        <v>0</v>
      </c>
    </row>
    <row r="19" spans="1:6" x14ac:dyDescent="0.25">
      <c r="A19" s="1" t="s">
        <v>12</v>
      </c>
      <c r="B19" s="8"/>
      <c r="C19" s="11">
        <f t="shared" si="1"/>
        <v>15</v>
      </c>
      <c r="D19" s="4">
        <f t="shared" si="2"/>
        <v>0</v>
      </c>
      <c r="E19" s="16">
        <f t="shared" si="0"/>
        <v>0</v>
      </c>
      <c r="F19" s="4">
        <f t="shared" si="3"/>
        <v>0</v>
      </c>
    </row>
    <row r="20" spans="1:6" x14ac:dyDescent="0.25">
      <c r="A20" s="1" t="s">
        <v>11</v>
      </c>
      <c r="B20" s="8"/>
      <c r="C20" s="11">
        <f t="shared" si="1"/>
        <v>15</v>
      </c>
      <c r="D20" s="4">
        <f t="shared" si="2"/>
        <v>0</v>
      </c>
      <c r="E20" s="16">
        <f t="shared" si="0"/>
        <v>0</v>
      </c>
      <c r="F20" s="4">
        <f t="shared" si="3"/>
        <v>0</v>
      </c>
    </row>
    <row r="21" spans="1:6" x14ac:dyDescent="0.25">
      <c r="D21" s="5"/>
    </row>
    <row r="22" spans="1:6" x14ac:dyDescent="0.25">
      <c r="A22" s="81" t="s">
        <v>31</v>
      </c>
      <c r="B22" s="82"/>
      <c r="C22" s="83"/>
      <c r="D22" s="14">
        <f>SUM(D3:D20)</f>
        <v>0</v>
      </c>
      <c r="E22" s="17">
        <f>SUM(E3:E20)</f>
        <v>0</v>
      </c>
      <c r="F22" s="17">
        <f>SUM(F3:F20)</f>
        <v>0</v>
      </c>
    </row>
    <row r="26" spans="1:6" x14ac:dyDescent="0.25">
      <c r="A26" s="85" t="s">
        <v>14</v>
      </c>
      <c r="B26" s="86"/>
      <c r="C26" s="8">
        <v>18</v>
      </c>
    </row>
    <row r="27" spans="1:6" x14ac:dyDescent="0.25">
      <c r="A27" s="85" t="s">
        <v>4</v>
      </c>
      <c r="B27" s="86"/>
      <c r="C27" s="19"/>
      <c r="F27" s="20">
        <f>C27-F22</f>
        <v>0</v>
      </c>
    </row>
    <row r="28" spans="1:6" x14ac:dyDescent="0.25">
      <c r="A28" s="85" t="s">
        <v>2</v>
      </c>
      <c r="B28" s="86"/>
      <c r="C28" s="10">
        <f>C27/C26</f>
        <v>0</v>
      </c>
    </row>
    <row r="29" spans="1:6" x14ac:dyDescent="0.25">
      <c r="A29" s="85" t="s">
        <v>3</v>
      </c>
      <c r="B29" s="86"/>
      <c r="C29" s="9">
        <f>C28/15</f>
        <v>0</v>
      </c>
    </row>
    <row r="30" spans="1:6" x14ac:dyDescent="0.25">
      <c r="A30" s="85" t="s">
        <v>25</v>
      </c>
      <c r="B30" s="86"/>
      <c r="C30" s="18">
        <f>C27-D22</f>
        <v>0</v>
      </c>
      <c r="E30" s="20">
        <f>C30-E22</f>
        <v>0</v>
      </c>
    </row>
    <row r="31" spans="1:6" x14ac:dyDescent="0.25">
      <c r="A31" s="87"/>
      <c r="B31" s="87"/>
      <c r="C31" s="87"/>
    </row>
    <row r="32" spans="1:6" x14ac:dyDescent="0.25">
      <c r="A32" s="80" t="s">
        <v>26</v>
      </c>
      <c r="B32" s="80"/>
      <c r="C32" s="13">
        <f>COUNTIF(B3:B20,15)</f>
        <v>0</v>
      </c>
      <c r="E32" s="3"/>
    </row>
    <row r="33" spans="1:3" x14ac:dyDescent="0.25">
      <c r="A33" s="80" t="s">
        <v>30</v>
      </c>
      <c r="B33" s="80"/>
      <c r="C33" s="4" t="e">
        <f>C30/C32</f>
        <v>#DIV/0!</v>
      </c>
    </row>
  </sheetData>
  <sortState ref="A3:A20">
    <sortCondition ref="A3"/>
  </sortState>
  <mergeCells count="10">
    <mergeCell ref="A33:B33"/>
    <mergeCell ref="A22:C22"/>
    <mergeCell ref="A1:F1"/>
    <mergeCell ref="A32:B32"/>
    <mergeCell ref="A26:B26"/>
    <mergeCell ref="A27:B27"/>
    <mergeCell ref="A28:B28"/>
    <mergeCell ref="A29:B29"/>
    <mergeCell ref="A30:B30"/>
    <mergeCell ref="A31:C31"/>
  </mergeCells>
  <conditionalFormatting sqref="E3:E20">
    <cfRule type="containsText" dxfId="41" priority="2" operator="containsText" text="0">
      <formula>NOT(ISERROR(SEARCH("0",E3)))</formula>
    </cfRule>
  </conditionalFormatting>
  <conditionalFormatting sqref="C3:C20">
    <cfRule type="cellIs" dxfId="40" priority="1" operator="equal">
      <formula>0</formula>
    </cfRule>
  </conditionalFormatting>
  <pageMargins left="0.7" right="0.7" top="0.75" bottom="0.75" header="0.3" footer="0.3"/>
  <pageSetup paperSize="258" orientation="landscape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E3" sqref="E3:F15"/>
    </sheetView>
  </sheetViews>
  <sheetFormatPr defaultRowHeight="15" x14ac:dyDescent="0.25"/>
  <cols>
    <col min="1" max="1" width="19.28515625" bestFit="1" customWidth="1"/>
    <col min="2" max="2" width="17.42578125" bestFit="1" customWidth="1"/>
    <col min="3" max="3" width="15.5703125" bestFit="1" customWidth="1"/>
    <col min="4" max="4" width="15.42578125" bestFit="1" customWidth="1"/>
    <col min="5" max="5" width="13.5703125" bestFit="1" customWidth="1"/>
    <col min="6" max="6" width="14.42578125" bestFit="1" customWidth="1"/>
    <col min="8" max="8" width="12.5703125" bestFit="1" customWidth="1"/>
    <col min="10" max="10" width="10" bestFit="1" customWidth="1"/>
  </cols>
  <sheetData>
    <row r="1" spans="1:8" x14ac:dyDescent="0.25">
      <c r="A1" s="89" t="s">
        <v>32</v>
      </c>
      <c r="B1" s="89"/>
      <c r="C1" s="89"/>
      <c r="D1" s="89"/>
      <c r="E1" s="89"/>
      <c r="F1" s="89"/>
    </row>
    <row r="2" spans="1:8" x14ac:dyDescent="0.25">
      <c r="A2" s="35" t="s">
        <v>29</v>
      </c>
      <c r="B2" s="35" t="s">
        <v>0</v>
      </c>
      <c r="C2" s="35" t="s">
        <v>1</v>
      </c>
      <c r="D2" s="35" t="s">
        <v>13</v>
      </c>
      <c r="E2" s="35" t="s">
        <v>27</v>
      </c>
      <c r="F2" s="35" t="s">
        <v>28</v>
      </c>
    </row>
    <row r="3" spans="1:8" x14ac:dyDescent="0.25">
      <c r="A3" s="1" t="s">
        <v>7</v>
      </c>
      <c r="B3" s="11">
        <v>15</v>
      </c>
      <c r="C3" s="30">
        <f>14-B3</f>
        <v>-1</v>
      </c>
      <c r="D3" s="36">
        <f t="shared" ref="D3:D14" si="0">B3*C$22</f>
        <v>79467.032967032967</v>
      </c>
      <c r="E3" s="16">
        <f>IF(B3=14,(C$26),0)</f>
        <v>0</v>
      </c>
      <c r="F3" s="4">
        <f>D3+E3</f>
        <v>79467.032967032967</v>
      </c>
      <c r="H3" s="3"/>
    </row>
    <row r="4" spans="1:8" x14ac:dyDescent="0.25">
      <c r="A4" s="1" t="s">
        <v>5</v>
      </c>
      <c r="B4" s="11">
        <v>15</v>
      </c>
      <c r="C4" s="30">
        <f>14-B4</f>
        <v>-1</v>
      </c>
      <c r="D4" s="36">
        <f t="shared" si="0"/>
        <v>79467.032967032967</v>
      </c>
      <c r="E4" s="16"/>
      <c r="F4" s="4">
        <f t="shared" ref="F4:F14" si="1">D4+E4</f>
        <v>79467.032967032967</v>
      </c>
      <c r="H4" s="3"/>
    </row>
    <row r="5" spans="1:8" x14ac:dyDescent="0.25">
      <c r="A5" s="1" t="s">
        <v>35</v>
      </c>
      <c r="B5" s="11">
        <v>14</v>
      </c>
      <c r="C5" s="30"/>
      <c r="D5" s="36">
        <f t="shared" si="0"/>
        <v>74169.230769230766</v>
      </c>
      <c r="E5" s="4">
        <f>IF(B5=14,(C$26),0)</f>
        <v>3311.1263736263645</v>
      </c>
      <c r="F5" s="4">
        <f t="shared" si="1"/>
        <v>77480.35714285713</v>
      </c>
      <c r="H5" s="3"/>
    </row>
    <row r="6" spans="1:8" x14ac:dyDescent="0.25">
      <c r="A6" s="1" t="s">
        <v>36</v>
      </c>
      <c r="B6" s="11">
        <v>15</v>
      </c>
      <c r="C6" s="30">
        <f t="shared" ref="C6" si="2">14-B6</f>
        <v>-1</v>
      </c>
      <c r="D6" s="36">
        <f t="shared" si="0"/>
        <v>79467.032967032967</v>
      </c>
      <c r="E6" s="4"/>
      <c r="F6" s="4">
        <f t="shared" si="1"/>
        <v>79467.032967032967</v>
      </c>
      <c r="H6" s="3"/>
    </row>
    <row r="7" spans="1:8" x14ac:dyDescent="0.25">
      <c r="A7" s="1" t="s">
        <v>49</v>
      </c>
      <c r="B7" s="11">
        <v>15</v>
      </c>
      <c r="C7" s="30"/>
      <c r="D7" s="36">
        <f t="shared" si="0"/>
        <v>79467.032967032967</v>
      </c>
      <c r="E7" s="4">
        <f>IF(B7=14,(C$26),0)</f>
        <v>0</v>
      </c>
      <c r="F7" s="4">
        <f t="shared" si="1"/>
        <v>79467.032967032967</v>
      </c>
      <c r="H7" s="3"/>
    </row>
    <row r="8" spans="1:8" x14ac:dyDescent="0.25">
      <c r="A8" s="1" t="s">
        <v>38</v>
      </c>
      <c r="B8" s="11">
        <v>15</v>
      </c>
      <c r="C8" s="30"/>
      <c r="D8" s="36">
        <f t="shared" si="0"/>
        <v>79467.032967032967</v>
      </c>
      <c r="E8" s="4">
        <f>IF(B8=14,(C$26),0)</f>
        <v>0</v>
      </c>
      <c r="F8" s="4">
        <f t="shared" si="1"/>
        <v>79467.032967032967</v>
      </c>
      <c r="H8" s="3"/>
    </row>
    <row r="9" spans="1:8" x14ac:dyDescent="0.25">
      <c r="A9" s="1" t="s">
        <v>16</v>
      </c>
      <c r="B9" s="11">
        <v>13</v>
      </c>
      <c r="C9" s="30">
        <v>-2</v>
      </c>
      <c r="D9" s="36">
        <f t="shared" si="0"/>
        <v>68871.42857142858</v>
      </c>
      <c r="E9" s="4"/>
      <c r="F9" s="4">
        <f t="shared" si="1"/>
        <v>68871.42857142858</v>
      </c>
      <c r="H9" s="3"/>
    </row>
    <row r="10" spans="1:8" x14ac:dyDescent="0.25">
      <c r="A10" s="1" t="s">
        <v>44</v>
      </c>
      <c r="B10" s="11">
        <v>15</v>
      </c>
      <c r="C10" s="30"/>
      <c r="D10" s="36">
        <f t="shared" si="0"/>
        <v>79467.032967032967</v>
      </c>
      <c r="E10" s="4">
        <f>IF(B10=14,(C$26),0)</f>
        <v>0</v>
      </c>
      <c r="F10" s="4">
        <f t="shared" si="1"/>
        <v>79467.032967032967</v>
      </c>
      <c r="H10" s="3"/>
    </row>
    <row r="11" spans="1:8" x14ac:dyDescent="0.25">
      <c r="A11" s="7" t="s">
        <v>43</v>
      </c>
      <c r="B11" s="11">
        <v>15</v>
      </c>
      <c r="C11" s="30"/>
      <c r="D11" s="36">
        <f t="shared" si="0"/>
        <v>79467.032967032967</v>
      </c>
      <c r="E11" s="4">
        <f>IF(B11=14,(C$26),0)</f>
        <v>0</v>
      </c>
      <c r="F11" s="4">
        <f t="shared" si="1"/>
        <v>79467.032967032967</v>
      </c>
      <c r="H11" s="3"/>
    </row>
    <row r="12" spans="1:8" x14ac:dyDescent="0.25">
      <c r="A12" s="1" t="s">
        <v>46</v>
      </c>
      <c r="B12" s="11">
        <v>15</v>
      </c>
      <c r="C12" s="30"/>
      <c r="D12" s="36">
        <f t="shared" si="0"/>
        <v>79467.032967032967</v>
      </c>
      <c r="E12" s="4">
        <f>IF(B12=14,(C$26),0)</f>
        <v>0</v>
      </c>
      <c r="F12" s="4">
        <f t="shared" si="1"/>
        <v>79467.032967032967</v>
      </c>
      <c r="H12" s="3"/>
    </row>
    <row r="13" spans="1:8" x14ac:dyDescent="0.25">
      <c r="A13" s="1" t="s">
        <v>50</v>
      </c>
      <c r="B13" s="11">
        <v>15</v>
      </c>
      <c r="C13" s="30"/>
      <c r="D13" s="36">
        <f t="shared" si="0"/>
        <v>79467.032967032967</v>
      </c>
      <c r="E13" s="4">
        <f>IF(B13=14,(C$26),0)</f>
        <v>0</v>
      </c>
      <c r="F13" s="4">
        <f t="shared" si="1"/>
        <v>79467.032967032967</v>
      </c>
      <c r="H13" s="3"/>
    </row>
    <row r="14" spans="1:8" x14ac:dyDescent="0.25">
      <c r="A14" s="1" t="s">
        <v>51</v>
      </c>
      <c r="B14" s="11">
        <v>15</v>
      </c>
      <c r="C14" s="30"/>
      <c r="D14" s="36">
        <f t="shared" si="0"/>
        <v>79467.032967032967</v>
      </c>
      <c r="E14" s="4">
        <f>IF(B14=14,(C$26),0)</f>
        <v>0</v>
      </c>
      <c r="F14" s="4">
        <f t="shared" si="1"/>
        <v>79467.032967032967</v>
      </c>
      <c r="H14" s="3"/>
    </row>
    <row r="15" spans="1:8" x14ac:dyDescent="0.25">
      <c r="A15" s="81" t="s">
        <v>31</v>
      </c>
      <c r="B15" s="82"/>
      <c r="C15" s="83"/>
      <c r="D15" s="14">
        <f>SUM(D3:D14)</f>
        <v>937710.98901098908</v>
      </c>
      <c r="E15" s="17"/>
      <c r="F15" s="17">
        <f>SUM(F3:F14)</f>
        <v>941022.11538461549</v>
      </c>
      <c r="H15" s="3"/>
    </row>
    <row r="16" spans="1:8" x14ac:dyDescent="0.25">
      <c r="H16" s="3"/>
    </row>
    <row r="19" spans="1:6" x14ac:dyDescent="0.25">
      <c r="A19" s="85" t="s">
        <v>14</v>
      </c>
      <c r="B19" s="86"/>
      <c r="C19" s="11">
        <v>13</v>
      </c>
    </row>
    <row r="20" spans="1:6" x14ac:dyDescent="0.25">
      <c r="A20" s="85" t="s">
        <v>4</v>
      </c>
      <c r="B20" s="86"/>
      <c r="C20" s="19">
        <v>964200</v>
      </c>
      <c r="F20" s="20"/>
    </row>
    <row r="21" spans="1:6" x14ac:dyDescent="0.25">
      <c r="A21" s="85" t="s">
        <v>2</v>
      </c>
      <c r="B21" s="86"/>
      <c r="C21" s="10">
        <f>C20/C19</f>
        <v>74169.230769230766</v>
      </c>
    </row>
    <row r="22" spans="1:6" x14ac:dyDescent="0.25">
      <c r="A22" s="85" t="s">
        <v>3</v>
      </c>
      <c r="B22" s="86"/>
      <c r="C22" s="9">
        <f>C21/14</f>
        <v>5297.802197802198</v>
      </c>
    </row>
    <row r="23" spans="1:6" x14ac:dyDescent="0.25">
      <c r="A23" s="85" t="s">
        <v>25</v>
      </c>
      <c r="B23" s="86"/>
      <c r="C23" s="18">
        <f>C20-D15</f>
        <v>26489.010989010916</v>
      </c>
      <c r="E23" s="20"/>
    </row>
    <row r="24" spans="1:6" x14ac:dyDescent="0.25">
      <c r="A24" s="87"/>
      <c r="B24" s="87"/>
      <c r="C24" s="87"/>
    </row>
    <row r="25" spans="1:6" x14ac:dyDescent="0.25">
      <c r="A25" s="80" t="s">
        <v>26</v>
      </c>
      <c r="B25" s="80"/>
      <c r="C25" s="13">
        <v>8</v>
      </c>
      <c r="E25" s="3"/>
    </row>
    <row r="26" spans="1:6" x14ac:dyDescent="0.25">
      <c r="A26" s="80" t="s">
        <v>30</v>
      </c>
      <c r="B26" s="80"/>
      <c r="C26" s="36">
        <f>C23/C25</f>
        <v>3311.1263736263645</v>
      </c>
    </row>
  </sheetData>
  <mergeCells count="10">
    <mergeCell ref="A23:B23"/>
    <mergeCell ref="A24:C24"/>
    <mergeCell ref="A25:B25"/>
    <mergeCell ref="A26:B26"/>
    <mergeCell ref="A1:F1"/>
    <mergeCell ref="A15:C15"/>
    <mergeCell ref="A19:B19"/>
    <mergeCell ref="A20:B20"/>
    <mergeCell ref="A21:B21"/>
    <mergeCell ref="A22:B22"/>
  </mergeCells>
  <conditionalFormatting sqref="C3:C14">
    <cfRule type="cellIs" dxfId="16" priority="9" operator="equal">
      <formula>0</formula>
    </cfRule>
  </conditionalFormatting>
  <conditionalFormatting sqref="E3:E4">
    <cfRule type="containsText" dxfId="15" priority="3" operator="containsText" text="0">
      <formula>NOT(ISERROR(SEARCH("0",E3)))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sqref="A1:XFD1048576"/>
    </sheetView>
  </sheetViews>
  <sheetFormatPr defaultRowHeight="15" x14ac:dyDescent="0.25"/>
  <cols>
    <col min="1" max="1" width="19.28515625" bestFit="1" customWidth="1"/>
    <col min="2" max="2" width="17.42578125" bestFit="1" customWidth="1"/>
    <col min="3" max="3" width="15.5703125" bestFit="1" customWidth="1"/>
    <col min="4" max="4" width="15.42578125" bestFit="1" customWidth="1"/>
    <col min="5" max="5" width="12.7109375" customWidth="1"/>
    <col min="6" max="6" width="14.42578125" bestFit="1" customWidth="1"/>
  </cols>
  <sheetData>
    <row r="1" spans="1:6" x14ac:dyDescent="0.25">
      <c r="A1" s="90" t="s">
        <v>52</v>
      </c>
      <c r="B1" s="90"/>
      <c r="C1" s="90"/>
      <c r="D1" s="90"/>
      <c r="E1" s="90"/>
      <c r="F1" s="90"/>
    </row>
    <row r="2" spans="1:6" x14ac:dyDescent="0.25">
      <c r="A2" s="37" t="s">
        <v>29</v>
      </c>
      <c r="B2" s="37" t="s">
        <v>0</v>
      </c>
      <c r="C2" s="37" t="s">
        <v>1</v>
      </c>
      <c r="D2" s="37" t="s">
        <v>13</v>
      </c>
      <c r="E2" s="37" t="s">
        <v>27</v>
      </c>
      <c r="F2" s="37" t="s">
        <v>28</v>
      </c>
    </row>
    <row r="3" spans="1:6" x14ac:dyDescent="0.25">
      <c r="A3" s="38" t="s">
        <v>7</v>
      </c>
      <c r="B3" s="11">
        <v>15</v>
      </c>
      <c r="C3" s="30">
        <f>15-B3</f>
        <v>0</v>
      </c>
      <c r="D3" s="36">
        <f>B3*C$22</f>
        <v>51083.333333333336</v>
      </c>
      <c r="E3" s="4">
        <f>IF(B3=15,(C$26),0)</f>
        <v>1021.6666666666628</v>
      </c>
      <c r="F3" s="4">
        <f>D3+E3</f>
        <v>52105</v>
      </c>
    </row>
    <row r="4" spans="1:6" x14ac:dyDescent="0.25">
      <c r="A4" s="38" t="s">
        <v>5</v>
      </c>
      <c r="B4" s="11">
        <v>15</v>
      </c>
      <c r="C4" s="30">
        <f t="shared" ref="C4:C14" si="0">15-B4</f>
        <v>0</v>
      </c>
      <c r="D4" s="36">
        <f t="shared" ref="D4:D14" si="1">B4*C$22</f>
        <v>51083.333333333336</v>
      </c>
      <c r="E4" s="4">
        <f t="shared" ref="E4:E15" si="2">IF(B4=15,(C$26),0)</f>
        <v>1021.6666666666628</v>
      </c>
      <c r="F4" s="4">
        <f t="shared" ref="F4:F14" si="3">D4+E4</f>
        <v>52105</v>
      </c>
    </row>
    <row r="5" spans="1:6" x14ac:dyDescent="0.25">
      <c r="A5" s="38" t="s">
        <v>35</v>
      </c>
      <c r="B5" s="11">
        <v>14</v>
      </c>
      <c r="C5" s="30">
        <f t="shared" si="0"/>
        <v>1</v>
      </c>
      <c r="D5" s="36">
        <f t="shared" si="1"/>
        <v>47677.777777777781</v>
      </c>
      <c r="E5" s="4">
        <f>IF(B5=15,(C$26),0)</f>
        <v>0</v>
      </c>
      <c r="F5" s="4">
        <f t="shared" si="3"/>
        <v>47677.777777777781</v>
      </c>
    </row>
    <row r="6" spans="1:6" x14ac:dyDescent="0.25">
      <c r="A6" s="38" t="s">
        <v>36</v>
      </c>
      <c r="B6" s="11">
        <v>15</v>
      </c>
      <c r="C6" s="30">
        <f t="shared" si="0"/>
        <v>0</v>
      </c>
      <c r="D6" s="36">
        <f t="shared" si="1"/>
        <v>51083.333333333336</v>
      </c>
      <c r="E6" s="4">
        <f t="shared" si="2"/>
        <v>1021.6666666666628</v>
      </c>
      <c r="F6" s="4">
        <f t="shared" si="3"/>
        <v>52105</v>
      </c>
    </row>
    <row r="7" spans="1:6" x14ac:dyDescent="0.25">
      <c r="A7" s="38" t="s">
        <v>49</v>
      </c>
      <c r="B7" s="11">
        <v>15</v>
      </c>
      <c r="C7" s="30">
        <f t="shared" si="0"/>
        <v>0</v>
      </c>
      <c r="D7" s="36">
        <f t="shared" si="1"/>
        <v>51083.333333333336</v>
      </c>
      <c r="E7" s="4">
        <f t="shared" si="2"/>
        <v>1021.6666666666628</v>
      </c>
      <c r="F7" s="4">
        <f t="shared" si="3"/>
        <v>52105</v>
      </c>
    </row>
    <row r="8" spans="1:6" x14ac:dyDescent="0.25">
      <c r="A8" s="38" t="s">
        <v>38</v>
      </c>
      <c r="B8" s="11">
        <v>15</v>
      </c>
      <c r="C8" s="30">
        <f t="shared" si="0"/>
        <v>0</v>
      </c>
      <c r="D8" s="36">
        <f t="shared" si="1"/>
        <v>51083.333333333336</v>
      </c>
      <c r="E8" s="4">
        <f t="shared" si="2"/>
        <v>1021.6666666666628</v>
      </c>
      <c r="F8" s="4">
        <f t="shared" si="3"/>
        <v>52105</v>
      </c>
    </row>
    <row r="9" spans="1:6" x14ac:dyDescent="0.25">
      <c r="A9" s="38" t="s">
        <v>16</v>
      </c>
      <c r="B9" s="11">
        <v>13</v>
      </c>
      <c r="C9" s="30">
        <f t="shared" si="0"/>
        <v>2</v>
      </c>
      <c r="D9" s="36">
        <f t="shared" si="1"/>
        <v>44272.222222222226</v>
      </c>
      <c r="E9" s="4">
        <f t="shared" si="2"/>
        <v>0</v>
      </c>
      <c r="F9" s="4">
        <f t="shared" si="3"/>
        <v>44272.222222222226</v>
      </c>
    </row>
    <row r="10" spans="1:6" x14ac:dyDescent="0.25">
      <c r="A10" s="38" t="s">
        <v>44</v>
      </c>
      <c r="B10" s="11">
        <v>15</v>
      </c>
      <c r="C10" s="30">
        <f t="shared" si="0"/>
        <v>0</v>
      </c>
      <c r="D10" s="36">
        <f t="shared" si="1"/>
        <v>51083.333333333336</v>
      </c>
      <c r="E10" s="4">
        <f t="shared" si="2"/>
        <v>1021.6666666666628</v>
      </c>
      <c r="F10" s="4">
        <f t="shared" si="3"/>
        <v>52105</v>
      </c>
    </row>
    <row r="11" spans="1:6" x14ac:dyDescent="0.25">
      <c r="A11" s="39" t="s">
        <v>43</v>
      </c>
      <c r="B11" s="11">
        <v>15</v>
      </c>
      <c r="C11" s="30">
        <f t="shared" si="0"/>
        <v>0</v>
      </c>
      <c r="D11" s="36">
        <f t="shared" si="1"/>
        <v>51083.333333333336</v>
      </c>
      <c r="E11" s="4">
        <f t="shared" si="2"/>
        <v>1021.6666666666628</v>
      </c>
      <c r="F11" s="4">
        <f t="shared" si="3"/>
        <v>52105</v>
      </c>
    </row>
    <row r="12" spans="1:6" x14ac:dyDescent="0.25">
      <c r="A12" s="38" t="s">
        <v>46</v>
      </c>
      <c r="B12" s="11">
        <v>15</v>
      </c>
      <c r="C12" s="30">
        <f t="shared" si="0"/>
        <v>0</v>
      </c>
      <c r="D12" s="36">
        <f t="shared" si="1"/>
        <v>51083.333333333336</v>
      </c>
      <c r="E12" s="4">
        <f t="shared" si="2"/>
        <v>1021.6666666666628</v>
      </c>
      <c r="F12" s="4">
        <f t="shared" si="3"/>
        <v>52105</v>
      </c>
    </row>
    <row r="13" spans="1:6" x14ac:dyDescent="0.25">
      <c r="A13" s="38" t="s">
        <v>50</v>
      </c>
      <c r="B13" s="11">
        <v>15</v>
      </c>
      <c r="C13" s="30">
        <f t="shared" si="0"/>
        <v>0</v>
      </c>
      <c r="D13" s="36">
        <f t="shared" si="1"/>
        <v>51083.333333333336</v>
      </c>
      <c r="E13" s="4">
        <f t="shared" si="2"/>
        <v>1021.6666666666628</v>
      </c>
      <c r="F13" s="4">
        <f t="shared" si="3"/>
        <v>52105</v>
      </c>
    </row>
    <row r="14" spans="1:6" x14ac:dyDescent="0.25">
      <c r="A14" s="38" t="s">
        <v>51</v>
      </c>
      <c r="B14" s="11">
        <v>15</v>
      </c>
      <c r="C14" s="30">
        <f t="shared" si="0"/>
        <v>0</v>
      </c>
      <c r="D14" s="36">
        <f t="shared" si="1"/>
        <v>51083.333333333336</v>
      </c>
      <c r="E14" s="4">
        <f t="shared" si="2"/>
        <v>1021.6666666666628</v>
      </c>
      <c r="F14" s="4">
        <f t="shared" si="3"/>
        <v>52105</v>
      </c>
    </row>
    <row r="15" spans="1:6" x14ac:dyDescent="0.25">
      <c r="A15" s="81" t="s">
        <v>31</v>
      </c>
      <c r="B15" s="82"/>
      <c r="C15" s="83"/>
      <c r="D15" s="14">
        <f>SUM(D3:D14)</f>
        <v>602783.33333333337</v>
      </c>
      <c r="E15" s="16">
        <f t="shared" si="2"/>
        <v>0</v>
      </c>
      <c r="F15" s="17">
        <f>SUM(F3:F14)</f>
        <v>613000</v>
      </c>
    </row>
    <row r="19" spans="1:6" x14ac:dyDescent="0.25">
      <c r="A19" s="85" t="s">
        <v>14</v>
      </c>
      <c r="B19" s="86"/>
      <c r="C19" s="11">
        <v>12</v>
      </c>
    </row>
    <row r="20" spans="1:6" x14ac:dyDescent="0.25">
      <c r="A20" s="85" t="s">
        <v>4</v>
      </c>
      <c r="B20" s="86"/>
      <c r="C20" s="19">
        <v>613000</v>
      </c>
      <c r="F20" s="20"/>
    </row>
    <row r="21" spans="1:6" x14ac:dyDescent="0.25">
      <c r="A21" s="85" t="s">
        <v>2</v>
      </c>
      <c r="B21" s="86"/>
      <c r="C21" s="10">
        <f>C20/C19</f>
        <v>51083.333333333336</v>
      </c>
    </row>
    <row r="22" spans="1:6" x14ac:dyDescent="0.25">
      <c r="A22" s="85" t="s">
        <v>3</v>
      </c>
      <c r="B22" s="86"/>
      <c r="C22" s="9">
        <f>C21/15</f>
        <v>3405.5555555555557</v>
      </c>
    </row>
    <row r="23" spans="1:6" x14ac:dyDescent="0.25">
      <c r="A23" s="85" t="s">
        <v>25</v>
      </c>
      <c r="B23" s="86"/>
      <c r="C23" s="18">
        <f>C20-D15</f>
        <v>10216.666666666628</v>
      </c>
      <c r="E23" s="20"/>
    </row>
    <row r="24" spans="1:6" x14ac:dyDescent="0.25">
      <c r="A24" s="87"/>
      <c r="B24" s="87"/>
      <c r="C24" s="87"/>
    </row>
    <row r="25" spans="1:6" x14ac:dyDescent="0.25">
      <c r="A25" s="80" t="s">
        <v>26</v>
      </c>
      <c r="B25" s="80"/>
      <c r="C25" s="13">
        <v>10</v>
      </c>
      <c r="E25" s="3"/>
    </row>
    <row r="26" spans="1:6" x14ac:dyDescent="0.25">
      <c r="A26" s="80" t="s">
        <v>30</v>
      </c>
      <c r="B26" s="80"/>
      <c r="C26" s="4">
        <f>C23/C25</f>
        <v>1021.6666666666628</v>
      </c>
    </row>
  </sheetData>
  <mergeCells count="10">
    <mergeCell ref="A23:B23"/>
    <mergeCell ref="A24:C24"/>
    <mergeCell ref="A25:B25"/>
    <mergeCell ref="A26:B26"/>
    <mergeCell ref="A1:F1"/>
    <mergeCell ref="A15:C15"/>
    <mergeCell ref="A19:B19"/>
    <mergeCell ref="A20:B20"/>
    <mergeCell ref="A21:B21"/>
    <mergeCell ref="A22:B22"/>
  </mergeCells>
  <conditionalFormatting sqref="C3:C14">
    <cfRule type="cellIs" dxfId="14" priority="3" operator="equal">
      <formula>0</formula>
    </cfRule>
  </conditionalFormatting>
  <conditionalFormatting sqref="E15">
    <cfRule type="containsText" dxfId="13" priority="1" operator="containsText" text="0">
      <formula>NOT(ISERROR(SEARCH("0",E15)))</formula>
    </cfRule>
  </conditionalFormatting>
  <pageMargins left="0.7" right="0.7" top="0.75" bottom="0.75" header="0.3" footer="0.3"/>
  <pageSetup paperSize="258" orientation="landscape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G20" sqref="G20"/>
    </sheetView>
  </sheetViews>
  <sheetFormatPr defaultRowHeight="15" x14ac:dyDescent="0.25"/>
  <cols>
    <col min="1" max="1" width="21.42578125" bestFit="1" customWidth="1"/>
    <col min="2" max="2" width="17.42578125" bestFit="1" customWidth="1"/>
    <col min="3" max="3" width="15.5703125" bestFit="1" customWidth="1"/>
    <col min="4" max="4" width="15.42578125" bestFit="1" customWidth="1"/>
    <col min="5" max="5" width="12.7109375" customWidth="1"/>
    <col min="6" max="6" width="14.42578125" bestFit="1" customWidth="1"/>
  </cols>
  <sheetData>
    <row r="1" spans="1:7" x14ac:dyDescent="0.25">
      <c r="A1" s="91" t="s">
        <v>52</v>
      </c>
      <c r="B1" s="91"/>
      <c r="C1" s="91"/>
      <c r="D1" s="91"/>
      <c r="E1" s="91"/>
      <c r="F1" s="91"/>
    </row>
    <row r="2" spans="1:7" x14ac:dyDescent="0.25">
      <c r="A2" s="40" t="s">
        <v>29</v>
      </c>
      <c r="B2" s="40" t="s">
        <v>0</v>
      </c>
      <c r="C2" s="40" t="s">
        <v>1</v>
      </c>
      <c r="D2" s="40" t="s">
        <v>13</v>
      </c>
      <c r="E2" s="40" t="s">
        <v>27</v>
      </c>
      <c r="F2" s="40" t="s">
        <v>28</v>
      </c>
    </row>
    <row r="3" spans="1:7" x14ac:dyDescent="0.25">
      <c r="A3" s="41" t="s">
        <v>7</v>
      </c>
      <c r="B3" s="11">
        <v>14</v>
      </c>
      <c r="C3" s="30">
        <f>15-B3</f>
        <v>1</v>
      </c>
      <c r="D3" s="36">
        <f>B3*C$22</f>
        <v>35789.444444444445</v>
      </c>
      <c r="E3" s="4">
        <f>IF(B3=15,(C$26),0)</f>
        <v>0</v>
      </c>
      <c r="F3" s="4">
        <f>D3+E3</f>
        <v>35789.444444444445</v>
      </c>
    </row>
    <row r="4" spans="1:7" x14ac:dyDescent="0.25">
      <c r="A4" s="41" t="s">
        <v>5</v>
      </c>
      <c r="B4" s="11">
        <v>14</v>
      </c>
      <c r="C4" s="30">
        <f t="shared" ref="C4:C14" si="0">15-B4</f>
        <v>1</v>
      </c>
      <c r="D4" s="36">
        <f t="shared" ref="D4:D14" si="1">B4*C$22</f>
        <v>35789.444444444445</v>
      </c>
      <c r="E4" s="4">
        <f t="shared" ref="E4:E15" si="2">IF(B4=15,(C$26),0)</f>
        <v>0</v>
      </c>
      <c r="F4" s="4">
        <f t="shared" ref="F4:F14" si="3">D4+E4</f>
        <v>35789.444444444445</v>
      </c>
    </row>
    <row r="5" spans="1:7" x14ac:dyDescent="0.25">
      <c r="A5" s="41" t="s">
        <v>35</v>
      </c>
      <c r="B5" s="11">
        <f>15-3</f>
        <v>12</v>
      </c>
      <c r="C5" s="30">
        <f t="shared" si="0"/>
        <v>3</v>
      </c>
      <c r="D5" s="36">
        <f t="shared" si="1"/>
        <v>30676.666666666672</v>
      </c>
      <c r="E5" s="4">
        <f>IF(B5=15,(C$26),0)</f>
        <v>0</v>
      </c>
      <c r="F5" s="4">
        <f t="shared" si="3"/>
        <v>30676.666666666672</v>
      </c>
    </row>
    <row r="6" spans="1:7" x14ac:dyDescent="0.25">
      <c r="A6" s="41" t="s">
        <v>36</v>
      </c>
      <c r="B6" s="11">
        <f>15-4</f>
        <v>11</v>
      </c>
      <c r="C6" s="30">
        <f t="shared" si="0"/>
        <v>4</v>
      </c>
      <c r="D6" s="36">
        <f t="shared" si="1"/>
        <v>28120.277777777781</v>
      </c>
      <c r="E6" s="4">
        <f t="shared" si="2"/>
        <v>0</v>
      </c>
      <c r="F6" s="4">
        <f t="shared" si="3"/>
        <v>28120.277777777781</v>
      </c>
    </row>
    <row r="7" spans="1:7" x14ac:dyDescent="0.25">
      <c r="A7" s="41" t="s">
        <v>49</v>
      </c>
      <c r="B7" s="11">
        <f>15-2</f>
        <v>13</v>
      </c>
      <c r="C7" s="30">
        <f t="shared" si="0"/>
        <v>2</v>
      </c>
      <c r="D7" s="36">
        <f t="shared" si="1"/>
        <v>33233.055555555562</v>
      </c>
      <c r="E7" s="4">
        <f t="shared" si="2"/>
        <v>0</v>
      </c>
      <c r="F7" s="4">
        <f t="shared" si="3"/>
        <v>33233.055555555562</v>
      </c>
    </row>
    <row r="8" spans="1:7" x14ac:dyDescent="0.25">
      <c r="A8" s="41" t="s">
        <v>38</v>
      </c>
      <c r="B8" s="11">
        <v>15</v>
      </c>
      <c r="C8" s="30">
        <f t="shared" si="0"/>
        <v>0</v>
      </c>
      <c r="D8" s="36">
        <f t="shared" si="1"/>
        <v>38345.833333333336</v>
      </c>
      <c r="E8" s="4">
        <f t="shared" si="2"/>
        <v>8947.361111111124</v>
      </c>
      <c r="F8" s="4">
        <f t="shared" si="3"/>
        <v>47293.19444444446</v>
      </c>
    </row>
    <row r="9" spans="1:7" x14ac:dyDescent="0.25">
      <c r="A9" s="41" t="s">
        <v>16</v>
      </c>
      <c r="B9" s="11">
        <f>15-2</f>
        <v>13</v>
      </c>
      <c r="C9" s="30">
        <f t="shared" si="0"/>
        <v>2</v>
      </c>
      <c r="D9" s="36">
        <f t="shared" si="1"/>
        <v>33233.055555555562</v>
      </c>
      <c r="E9" s="4">
        <f t="shared" si="2"/>
        <v>0</v>
      </c>
      <c r="F9" s="4">
        <f t="shared" si="3"/>
        <v>33233.055555555562</v>
      </c>
    </row>
    <row r="10" spans="1:7" x14ac:dyDescent="0.25">
      <c r="A10" s="41" t="s">
        <v>44</v>
      </c>
      <c r="B10" s="11">
        <v>15</v>
      </c>
      <c r="C10" s="30">
        <f t="shared" si="0"/>
        <v>0</v>
      </c>
      <c r="D10" s="36">
        <f t="shared" si="1"/>
        <v>38345.833333333336</v>
      </c>
      <c r="E10" s="4">
        <f t="shared" si="2"/>
        <v>8947.361111111124</v>
      </c>
      <c r="F10" s="4">
        <f t="shared" si="3"/>
        <v>47293.19444444446</v>
      </c>
    </row>
    <row r="11" spans="1:7" x14ac:dyDescent="0.25">
      <c r="A11" s="42" t="s">
        <v>43</v>
      </c>
      <c r="B11" s="11">
        <v>15</v>
      </c>
      <c r="C11" s="30">
        <f t="shared" si="0"/>
        <v>0</v>
      </c>
      <c r="D11" s="36">
        <f t="shared" si="1"/>
        <v>38345.833333333336</v>
      </c>
      <c r="E11" s="4">
        <f t="shared" si="2"/>
        <v>8947.361111111124</v>
      </c>
      <c r="F11" s="4">
        <f t="shared" si="3"/>
        <v>47293.19444444446</v>
      </c>
    </row>
    <row r="12" spans="1:7" x14ac:dyDescent="0.25">
      <c r="A12" s="41" t="s">
        <v>46</v>
      </c>
      <c r="B12" s="11">
        <v>15</v>
      </c>
      <c r="C12" s="30">
        <f t="shared" si="0"/>
        <v>0</v>
      </c>
      <c r="D12" s="36">
        <f t="shared" si="1"/>
        <v>38345.833333333336</v>
      </c>
      <c r="E12" s="4">
        <f t="shared" si="2"/>
        <v>8947.361111111124</v>
      </c>
      <c r="F12" s="4">
        <f t="shared" si="3"/>
        <v>47293.19444444446</v>
      </c>
    </row>
    <row r="13" spans="1:7" x14ac:dyDescent="0.25">
      <c r="A13" s="41" t="s">
        <v>50</v>
      </c>
      <c r="B13" s="11">
        <v>15</v>
      </c>
      <c r="C13" s="30">
        <f t="shared" si="0"/>
        <v>0</v>
      </c>
      <c r="D13" s="36">
        <f t="shared" si="1"/>
        <v>38345.833333333336</v>
      </c>
      <c r="E13" s="4">
        <f t="shared" si="2"/>
        <v>8947.361111111124</v>
      </c>
      <c r="F13" s="4">
        <f t="shared" si="3"/>
        <v>47293.19444444446</v>
      </c>
      <c r="G13" s="5">
        <f>F8-F13</f>
        <v>0</v>
      </c>
    </row>
    <row r="14" spans="1:7" x14ac:dyDescent="0.25">
      <c r="A14" s="41" t="s">
        <v>51</v>
      </c>
      <c r="B14" s="11">
        <v>14</v>
      </c>
      <c r="C14" s="30">
        <f t="shared" si="0"/>
        <v>1</v>
      </c>
      <c r="D14" s="36">
        <f t="shared" si="1"/>
        <v>35789.444444444445</v>
      </c>
      <c r="E14" s="4">
        <f t="shared" si="2"/>
        <v>0</v>
      </c>
      <c r="F14" s="4">
        <f t="shared" si="3"/>
        <v>35789.444444444445</v>
      </c>
    </row>
    <row r="15" spans="1:7" x14ac:dyDescent="0.25">
      <c r="A15" s="92" t="s">
        <v>31</v>
      </c>
      <c r="B15" s="93"/>
      <c r="C15" s="94"/>
      <c r="D15" s="14">
        <f>SUM(D3:D14)</f>
        <v>424360.5555555555</v>
      </c>
      <c r="E15" s="16">
        <f t="shared" si="2"/>
        <v>0</v>
      </c>
      <c r="F15" s="17">
        <f>SUM(F3:F14)</f>
        <v>469097.36111111112</v>
      </c>
    </row>
    <row r="17" spans="1:8" x14ac:dyDescent="0.25">
      <c r="H17" s="5">
        <f>F13-35789</f>
        <v>11504.19444444446</v>
      </c>
    </row>
    <row r="19" spans="1:8" x14ac:dyDescent="0.25">
      <c r="A19" s="85" t="s">
        <v>14</v>
      </c>
      <c r="B19" s="86"/>
      <c r="C19" s="11">
        <v>12</v>
      </c>
    </row>
    <row r="20" spans="1:8" x14ac:dyDescent="0.25">
      <c r="A20" s="85" t="s">
        <v>4</v>
      </c>
      <c r="B20" s="86"/>
      <c r="C20" s="19">
        <v>460150</v>
      </c>
      <c r="F20" s="20"/>
    </row>
    <row r="21" spans="1:8" x14ac:dyDescent="0.25">
      <c r="A21" s="85" t="s">
        <v>2</v>
      </c>
      <c r="B21" s="86"/>
      <c r="C21" s="10">
        <f>C20/C19</f>
        <v>38345.833333333336</v>
      </c>
    </row>
    <row r="22" spans="1:8" x14ac:dyDescent="0.25">
      <c r="A22" s="85" t="s">
        <v>3</v>
      </c>
      <c r="B22" s="86"/>
      <c r="C22" s="9">
        <f>C21/15</f>
        <v>2556.3888888888891</v>
      </c>
    </row>
    <row r="23" spans="1:8" x14ac:dyDescent="0.25">
      <c r="A23" s="85" t="s">
        <v>25</v>
      </c>
      <c r="B23" s="86"/>
      <c r="C23" s="18">
        <f>C20-D15</f>
        <v>35789.444444444496</v>
      </c>
      <c r="E23" s="20"/>
    </row>
    <row r="24" spans="1:8" x14ac:dyDescent="0.25">
      <c r="A24" s="87"/>
      <c r="B24" s="87"/>
      <c r="C24" s="87"/>
    </row>
    <row r="25" spans="1:8" x14ac:dyDescent="0.25">
      <c r="A25" s="80" t="s">
        <v>26</v>
      </c>
      <c r="B25" s="80"/>
      <c r="C25" s="13">
        <v>4</v>
      </c>
      <c r="E25" s="3"/>
    </row>
    <row r="26" spans="1:8" x14ac:dyDescent="0.25">
      <c r="A26" s="80" t="s">
        <v>30</v>
      </c>
      <c r="B26" s="80"/>
      <c r="C26" s="4">
        <f>C23/C25</f>
        <v>8947.361111111124</v>
      </c>
    </row>
  </sheetData>
  <mergeCells count="10">
    <mergeCell ref="A23:B23"/>
    <mergeCell ref="A24:C24"/>
    <mergeCell ref="A25:B25"/>
    <mergeCell ref="A26:B26"/>
    <mergeCell ref="A1:F1"/>
    <mergeCell ref="A15:C15"/>
    <mergeCell ref="A19:B19"/>
    <mergeCell ref="A20:B20"/>
    <mergeCell ref="A21:B21"/>
    <mergeCell ref="A22:B22"/>
  </mergeCells>
  <conditionalFormatting sqref="C3:C14">
    <cfRule type="cellIs" dxfId="12" priority="2" operator="equal">
      <formula>0</formula>
    </cfRule>
  </conditionalFormatting>
  <conditionalFormatting sqref="E15">
    <cfRule type="containsText" dxfId="11" priority="1" operator="containsText" text="0">
      <formula>NOT(ISERROR(SEARCH("0",E15)))</formula>
    </cfRule>
  </conditionalFormatting>
  <pageMargins left="0.7" right="0.7" top="0.75" bottom="0.75" header="0.3" footer="0.3"/>
  <pageSetup paperSize="258" orientation="landscape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9" sqref="D9"/>
    </sheetView>
  </sheetViews>
  <sheetFormatPr defaultRowHeight="15" x14ac:dyDescent="0.25"/>
  <cols>
    <col min="1" max="1" width="21.42578125" bestFit="1" customWidth="1"/>
    <col min="2" max="2" width="17.42578125" bestFit="1" customWidth="1"/>
    <col min="3" max="3" width="15.5703125" bestFit="1" customWidth="1"/>
    <col min="4" max="4" width="15.42578125" bestFit="1" customWidth="1"/>
    <col min="5" max="5" width="13.5703125" bestFit="1" customWidth="1"/>
    <col min="6" max="6" width="14.42578125" bestFit="1" customWidth="1"/>
  </cols>
  <sheetData>
    <row r="1" spans="1:6" x14ac:dyDescent="0.25">
      <c r="A1" s="90" t="s">
        <v>52</v>
      </c>
      <c r="B1" s="90"/>
      <c r="C1" s="90"/>
      <c r="D1" s="90"/>
      <c r="E1" s="90"/>
      <c r="F1" s="90"/>
    </row>
    <row r="2" spans="1:6" x14ac:dyDescent="0.25">
      <c r="A2" s="43" t="s">
        <v>29</v>
      </c>
      <c r="B2" s="43" t="s">
        <v>0</v>
      </c>
      <c r="C2" s="43" t="s">
        <v>1</v>
      </c>
      <c r="D2" s="43" t="s">
        <v>13</v>
      </c>
      <c r="E2" s="43" t="s">
        <v>27</v>
      </c>
      <c r="F2" s="43" t="s">
        <v>28</v>
      </c>
    </row>
    <row r="3" spans="1:6" x14ac:dyDescent="0.25">
      <c r="A3" s="38" t="s">
        <v>38</v>
      </c>
      <c r="B3" s="11">
        <v>15</v>
      </c>
      <c r="C3" s="30">
        <f>15-B3</f>
        <v>0</v>
      </c>
      <c r="D3" s="36">
        <f>B3*C$22</f>
        <v>53116.317129629628</v>
      </c>
      <c r="E3" s="4">
        <f>IF(B3=15,(C$26),0)</f>
        <v>10117.393738977078</v>
      </c>
      <c r="F3" s="4">
        <f>D3+E3</f>
        <v>63233.710868606708</v>
      </c>
    </row>
    <row r="4" spans="1:6" x14ac:dyDescent="0.25">
      <c r="A4" s="38" t="s">
        <v>5</v>
      </c>
      <c r="B4" s="11">
        <v>15</v>
      </c>
      <c r="C4" s="30">
        <f t="shared" ref="C4:C14" si="0">15-B4</f>
        <v>0</v>
      </c>
      <c r="D4" s="36">
        <f t="shared" ref="D4:D14" si="1">B4*C$22</f>
        <v>53116.317129629628</v>
      </c>
      <c r="E4" s="4">
        <f t="shared" ref="E4:E15" si="2">IF(B4=15,(C$26),0)</f>
        <v>10117.393738977078</v>
      </c>
      <c r="F4" s="4">
        <f t="shared" ref="F4:F14" si="3">D4+E4</f>
        <v>63233.710868606708</v>
      </c>
    </row>
    <row r="5" spans="1:6" x14ac:dyDescent="0.25">
      <c r="A5" s="38" t="s">
        <v>50</v>
      </c>
      <c r="B5" s="11">
        <v>15</v>
      </c>
      <c r="C5" s="30">
        <f t="shared" si="0"/>
        <v>0</v>
      </c>
      <c r="D5" s="36">
        <f t="shared" si="1"/>
        <v>53116.317129629628</v>
      </c>
      <c r="E5" s="4">
        <f>IF(B5=15,(C$26),0)</f>
        <v>10117.393738977078</v>
      </c>
      <c r="F5" s="4">
        <f>D5+E5+'Propinas del 5 al 19 de Marzo'!H17</f>
        <v>74737.90531305116</v>
      </c>
    </row>
    <row r="6" spans="1:6" x14ac:dyDescent="0.25">
      <c r="A6" s="38" t="s">
        <v>36</v>
      </c>
      <c r="B6" s="11">
        <v>13</v>
      </c>
      <c r="C6" s="30">
        <f t="shared" si="0"/>
        <v>2</v>
      </c>
      <c r="D6" s="36">
        <f t="shared" si="1"/>
        <v>46034.141512345675</v>
      </c>
      <c r="E6" s="4">
        <f t="shared" si="2"/>
        <v>0</v>
      </c>
      <c r="F6" s="4">
        <f t="shared" si="3"/>
        <v>46034.141512345675</v>
      </c>
    </row>
    <row r="7" spans="1:6" x14ac:dyDescent="0.25">
      <c r="A7" s="38" t="s">
        <v>49</v>
      </c>
      <c r="B7" s="11">
        <v>14</v>
      </c>
      <c r="C7" s="30">
        <f t="shared" si="0"/>
        <v>1</v>
      </c>
      <c r="D7" s="36">
        <f t="shared" si="1"/>
        <v>49575.229320987652</v>
      </c>
      <c r="E7" s="4">
        <f t="shared" si="2"/>
        <v>0</v>
      </c>
      <c r="F7" s="4">
        <f t="shared" si="3"/>
        <v>49575.229320987652</v>
      </c>
    </row>
    <row r="8" spans="1:6" x14ac:dyDescent="0.25">
      <c r="A8" s="38" t="s">
        <v>7</v>
      </c>
      <c r="B8" s="11">
        <v>13</v>
      </c>
      <c r="C8" s="30">
        <f t="shared" si="0"/>
        <v>2</v>
      </c>
      <c r="D8" s="36">
        <f>C22*B8</f>
        <v>46034.141512345675</v>
      </c>
      <c r="E8" s="4">
        <f t="shared" si="2"/>
        <v>0</v>
      </c>
      <c r="F8" s="4">
        <f t="shared" si="3"/>
        <v>46034.141512345675</v>
      </c>
    </row>
    <row r="9" spans="1:6" x14ac:dyDescent="0.25">
      <c r="A9" s="38" t="s">
        <v>16</v>
      </c>
      <c r="B9" s="11">
        <v>1</v>
      </c>
      <c r="C9" s="30">
        <f t="shared" si="0"/>
        <v>14</v>
      </c>
      <c r="D9" s="36">
        <f t="shared" si="1"/>
        <v>3541.0878086419752</v>
      </c>
      <c r="E9" s="4">
        <f t="shared" si="2"/>
        <v>0</v>
      </c>
      <c r="F9" s="4">
        <f t="shared" si="3"/>
        <v>3541.0878086419752</v>
      </c>
    </row>
    <row r="10" spans="1:6" x14ac:dyDescent="0.25">
      <c r="A10" s="38" t="s">
        <v>44</v>
      </c>
      <c r="B10" s="11">
        <v>15</v>
      </c>
      <c r="C10" s="30">
        <f>15-B10</f>
        <v>0</v>
      </c>
      <c r="D10" s="36">
        <f t="shared" si="1"/>
        <v>53116.317129629628</v>
      </c>
      <c r="E10" s="4">
        <f t="shared" si="2"/>
        <v>10117.393738977078</v>
      </c>
      <c r="F10" s="4">
        <f t="shared" si="3"/>
        <v>63233.710868606708</v>
      </c>
    </row>
    <row r="11" spans="1:6" x14ac:dyDescent="0.25">
      <c r="A11" s="39" t="s">
        <v>43</v>
      </c>
      <c r="B11" s="11">
        <v>15</v>
      </c>
      <c r="C11" s="30">
        <f t="shared" si="0"/>
        <v>0</v>
      </c>
      <c r="D11" s="36">
        <f t="shared" si="1"/>
        <v>53116.317129629628</v>
      </c>
      <c r="E11" s="4">
        <f t="shared" si="2"/>
        <v>10117.393738977078</v>
      </c>
      <c r="F11" s="4">
        <f t="shared" si="3"/>
        <v>63233.710868606708</v>
      </c>
    </row>
    <row r="12" spans="1:6" x14ac:dyDescent="0.25">
      <c r="A12" s="38" t="s">
        <v>46</v>
      </c>
      <c r="B12" s="11">
        <v>15</v>
      </c>
      <c r="C12" s="30">
        <f t="shared" si="0"/>
        <v>0</v>
      </c>
      <c r="D12" s="36">
        <f t="shared" si="1"/>
        <v>53116.317129629628</v>
      </c>
      <c r="E12" s="4">
        <f t="shared" si="2"/>
        <v>10117.393738977078</v>
      </c>
      <c r="F12" s="4">
        <f t="shared" si="3"/>
        <v>63233.710868606708</v>
      </c>
    </row>
    <row r="13" spans="1:6" x14ac:dyDescent="0.25">
      <c r="A13" s="38" t="s">
        <v>35</v>
      </c>
      <c r="B13" s="11">
        <v>14</v>
      </c>
      <c r="C13" s="30">
        <f t="shared" si="0"/>
        <v>1</v>
      </c>
      <c r="D13" s="36">
        <f t="shared" si="1"/>
        <v>49575.229320987652</v>
      </c>
      <c r="E13" s="4">
        <f t="shared" si="2"/>
        <v>0</v>
      </c>
      <c r="F13" s="4">
        <f t="shared" si="3"/>
        <v>49575.229320987652</v>
      </c>
    </row>
    <row r="14" spans="1:6" x14ac:dyDescent="0.25">
      <c r="A14" s="38" t="s">
        <v>51</v>
      </c>
      <c r="B14" s="11">
        <v>15</v>
      </c>
      <c r="C14" s="30">
        <f t="shared" si="0"/>
        <v>0</v>
      </c>
      <c r="D14" s="36">
        <f t="shared" si="1"/>
        <v>53116.317129629628</v>
      </c>
      <c r="E14" s="4">
        <f t="shared" si="2"/>
        <v>10117.393738977078</v>
      </c>
      <c r="F14" s="4">
        <f t="shared" si="3"/>
        <v>63233.710868606708</v>
      </c>
    </row>
    <row r="15" spans="1:6" x14ac:dyDescent="0.25">
      <c r="A15" s="92" t="s">
        <v>31</v>
      </c>
      <c r="B15" s="93"/>
      <c r="C15" s="94"/>
      <c r="D15" s="14">
        <f>SUM(D3:D14)</f>
        <v>566574.04938271595</v>
      </c>
      <c r="E15" s="16">
        <f t="shared" si="2"/>
        <v>0</v>
      </c>
      <c r="F15" s="17">
        <f>SUM(F3:F14)</f>
        <v>648900.00000000012</v>
      </c>
    </row>
    <row r="19" spans="1:6" x14ac:dyDescent="0.25">
      <c r="A19" s="85" t="s">
        <v>14</v>
      </c>
      <c r="B19" s="86"/>
      <c r="C19" s="11">
        <v>12</v>
      </c>
    </row>
    <row r="20" spans="1:6" x14ac:dyDescent="0.25">
      <c r="A20" s="85" t="s">
        <v>4</v>
      </c>
      <c r="B20" s="86"/>
      <c r="C20" s="19">
        <v>648900</v>
      </c>
      <c r="D20" s="19">
        <f>C20-'Propinas del 5 al 19 de Marzo'!H17</f>
        <v>637395.8055555555</v>
      </c>
      <c r="F20" s="20"/>
    </row>
    <row r="21" spans="1:6" x14ac:dyDescent="0.25">
      <c r="A21" s="85" t="s">
        <v>2</v>
      </c>
      <c r="B21" s="86"/>
      <c r="C21" s="10">
        <f>D20/C19</f>
        <v>53116.317129629628</v>
      </c>
    </row>
    <row r="22" spans="1:6" x14ac:dyDescent="0.25">
      <c r="A22" s="85" t="s">
        <v>3</v>
      </c>
      <c r="B22" s="86"/>
      <c r="C22" s="9">
        <f>C21/15</f>
        <v>3541.0878086419752</v>
      </c>
    </row>
    <row r="23" spans="1:6" x14ac:dyDescent="0.25">
      <c r="A23" s="85" t="s">
        <v>25</v>
      </c>
      <c r="B23" s="86"/>
      <c r="C23" s="18">
        <f>D20-D15</f>
        <v>70821.756172839552</v>
      </c>
      <c r="E23" s="20"/>
    </row>
    <row r="24" spans="1:6" x14ac:dyDescent="0.25">
      <c r="A24" s="87"/>
      <c r="B24" s="87"/>
      <c r="C24" s="87"/>
    </row>
    <row r="25" spans="1:6" x14ac:dyDescent="0.25">
      <c r="A25" s="80" t="s">
        <v>26</v>
      </c>
      <c r="B25" s="80"/>
      <c r="C25" s="13">
        <v>7</v>
      </c>
      <c r="E25" s="3"/>
    </row>
    <row r="26" spans="1:6" x14ac:dyDescent="0.25">
      <c r="A26" s="80" t="s">
        <v>30</v>
      </c>
      <c r="B26" s="80"/>
      <c r="C26" s="4">
        <f>C23/C25</f>
        <v>10117.393738977078</v>
      </c>
    </row>
  </sheetData>
  <mergeCells count="10">
    <mergeCell ref="A23:B23"/>
    <mergeCell ref="A24:C24"/>
    <mergeCell ref="A25:B25"/>
    <mergeCell ref="A26:B26"/>
    <mergeCell ref="A1:F1"/>
    <mergeCell ref="A15:C15"/>
    <mergeCell ref="A19:B19"/>
    <mergeCell ref="A20:B20"/>
    <mergeCell ref="A21:B21"/>
    <mergeCell ref="A22:B22"/>
  </mergeCells>
  <conditionalFormatting sqref="C3:C14">
    <cfRule type="cellIs" dxfId="10" priority="2" operator="equal">
      <formula>0</formula>
    </cfRule>
  </conditionalFormatting>
  <conditionalFormatting sqref="E15">
    <cfRule type="containsText" dxfId="9" priority="1" operator="containsText" text="0">
      <formula>NOT(ISERROR(SEARCH("0",E15)))</formula>
    </cfRule>
  </conditionalFormatting>
  <pageMargins left="0.7" right="0.7" top="0.75" bottom="0.75" header="0.3" footer="0.3"/>
  <pageSetup paperSize="258" orientation="landscape" horizontalDpi="30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A8" sqref="A8"/>
    </sheetView>
  </sheetViews>
  <sheetFormatPr defaultRowHeight="15" x14ac:dyDescent="0.25"/>
  <cols>
    <col min="1" max="1" width="21.7109375" bestFit="1" customWidth="1"/>
    <col min="2" max="2" width="17.42578125" bestFit="1" customWidth="1"/>
    <col min="3" max="3" width="15.5703125" bestFit="1" customWidth="1"/>
    <col min="4" max="4" width="15.42578125" bestFit="1" customWidth="1"/>
    <col min="5" max="5" width="13.5703125" bestFit="1" customWidth="1"/>
    <col min="6" max="6" width="14.42578125" bestFit="1" customWidth="1"/>
    <col min="8" max="8" width="9.140625" customWidth="1"/>
    <col min="11" max="11" width="18.85546875" customWidth="1"/>
    <col min="14" max="14" width="12.5703125" bestFit="1" customWidth="1"/>
  </cols>
  <sheetData>
    <row r="1" spans="1:6" x14ac:dyDescent="0.25">
      <c r="A1" s="97" t="s">
        <v>52</v>
      </c>
      <c r="B1" s="97"/>
      <c r="C1" s="97"/>
      <c r="D1" s="97"/>
      <c r="E1" s="97"/>
      <c r="F1" s="97"/>
    </row>
    <row r="2" spans="1:6" x14ac:dyDescent="0.25">
      <c r="A2" s="45" t="s">
        <v>29</v>
      </c>
      <c r="B2" s="45" t="s">
        <v>0</v>
      </c>
      <c r="C2" s="45" t="s">
        <v>1</v>
      </c>
      <c r="D2" s="45" t="s">
        <v>13</v>
      </c>
      <c r="E2" s="45" t="s">
        <v>27</v>
      </c>
      <c r="F2" s="45" t="s">
        <v>28</v>
      </c>
    </row>
    <row r="3" spans="1:6" x14ac:dyDescent="0.25">
      <c r="A3" s="46" t="s">
        <v>38</v>
      </c>
      <c r="B3" s="44">
        <v>16</v>
      </c>
      <c r="C3" s="30">
        <f>16-B3</f>
        <v>0</v>
      </c>
      <c r="D3" s="36">
        <f>B3*C20</f>
        <v>80472.727272727279</v>
      </c>
      <c r="E3" s="4">
        <f>IF(B3=16,(C$24),0)</f>
        <v>3143.4659090908972</v>
      </c>
      <c r="F3" s="36">
        <f>D3+E3</f>
        <v>83616.193181818177</v>
      </c>
    </row>
    <row r="4" spans="1:6" x14ac:dyDescent="0.25">
      <c r="A4" s="46" t="s">
        <v>5</v>
      </c>
      <c r="B4" s="44">
        <v>15</v>
      </c>
      <c r="C4" s="30">
        <f t="shared" ref="C4:C14" si="0">16-B4</f>
        <v>1</v>
      </c>
      <c r="D4" s="36">
        <f>B4*C20</f>
        <v>75443.181818181823</v>
      </c>
      <c r="E4" s="4">
        <f t="shared" ref="E4:E15" si="1">IF(B4=16,(C$24),0)</f>
        <v>0</v>
      </c>
      <c r="F4" s="36">
        <f t="shared" ref="F4:F14" si="2">D4+E4</f>
        <v>75443.181818181823</v>
      </c>
    </row>
    <row r="5" spans="1:6" x14ac:dyDescent="0.25">
      <c r="A5" s="46" t="s">
        <v>50</v>
      </c>
      <c r="B5" s="44">
        <v>16</v>
      </c>
      <c r="C5" s="30">
        <f t="shared" si="0"/>
        <v>0</v>
      </c>
      <c r="D5" s="36">
        <f>B5*C20</f>
        <v>80472.727272727279</v>
      </c>
      <c r="E5" s="4">
        <f t="shared" si="1"/>
        <v>3143.4659090908972</v>
      </c>
      <c r="F5" s="36">
        <f t="shared" si="2"/>
        <v>83616.193181818177</v>
      </c>
    </row>
    <row r="6" spans="1:6" x14ac:dyDescent="0.25">
      <c r="A6" s="46" t="s">
        <v>36</v>
      </c>
      <c r="B6" s="44">
        <v>14</v>
      </c>
      <c r="C6" s="30">
        <f t="shared" si="0"/>
        <v>2</v>
      </c>
      <c r="D6" s="36">
        <f>B6*C20</f>
        <v>70413.636363636368</v>
      </c>
      <c r="E6" s="4">
        <f t="shared" si="1"/>
        <v>0</v>
      </c>
      <c r="F6" s="36">
        <f t="shared" si="2"/>
        <v>70413.636363636368</v>
      </c>
    </row>
    <row r="7" spans="1:6" x14ac:dyDescent="0.25">
      <c r="A7" s="46" t="s">
        <v>49</v>
      </c>
      <c r="B7" s="44">
        <v>16</v>
      </c>
      <c r="C7" s="30">
        <f t="shared" si="0"/>
        <v>0</v>
      </c>
      <c r="D7" s="36">
        <f>B7*C20</f>
        <v>80472.727272727279</v>
      </c>
      <c r="E7" s="4">
        <f t="shared" si="1"/>
        <v>3143.4659090908972</v>
      </c>
      <c r="F7" s="36">
        <f t="shared" si="2"/>
        <v>83616.193181818177</v>
      </c>
    </row>
    <row r="8" spans="1:6" x14ac:dyDescent="0.25">
      <c r="A8" s="46" t="s">
        <v>7</v>
      </c>
      <c r="B8" s="44">
        <v>16</v>
      </c>
      <c r="C8" s="30">
        <f t="shared" si="0"/>
        <v>0</v>
      </c>
      <c r="D8" s="36">
        <f>B8*C20</f>
        <v>80472.727272727279</v>
      </c>
      <c r="E8" s="4">
        <f t="shared" si="1"/>
        <v>3143.4659090908972</v>
      </c>
      <c r="F8" s="36">
        <f t="shared" si="2"/>
        <v>83616.193181818177</v>
      </c>
    </row>
    <row r="9" spans="1:6" x14ac:dyDescent="0.25">
      <c r="A9" s="49" t="s">
        <v>16</v>
      </c>
      <c r="B9" s="50">
        <v>0</v>
      </c>
      <c r="C9" s="50">
        <f t="shared" si="0"/>
        <v>16</v>
      </c>
      <c r="D9" s="51">
        <f t="shared" ref="D9" si="3">B9*C26</f>
        <v>0</v>
      </c>
      <c r="E9" s="51">
        <f t="shared" si="1"/>
        <v>0</v>
      </c>
      <c r="F9" s="51">
        <f t="shared" si="2"/>
        <v>0</v>
      </c>
    </row>
    <row r="10" spans="1:6" x14ac:dyDescent="0.25">
      <c r="A10" s="46" t="s">
        <v>44</v>
      </c>
      <c r="B10" s="44">
        <v>16</v>
      </c>
      <c r="C10" s="30">
        <f t="shared" si="0"/>
        <v>0</v>
      </c>
      <c r="D10" s="36">
        <f>B10*C20</f>
        <v>80472.727272727279</v>
      </c>
      <c r="E10" s="4">
        <f t="shared" si="1"/>
        <v>3143.4659090908972</v>
      </c>
      <c r="F10" s="36">
        <f t="shared" si="2"/>
        <v>83616.193181818177</v>
      </c>
    </row>
    <row r="11" spans="1:6" x14ac:dyDescent="0.25">
      <c r="A11" s="46" t="s">
        <v>43</v>
      </c>
      <c r="B11" s="44">
        <v>16</v>
      </c>
      <c r="C11" s="30">
        <f t="shared" si="0"/>
        <v>0</v>
      </c>
      <c r="D11" s="36">
        <f>B11*C20</f>
        <v>80472.727272727279</v>
      </c>
      <c r="E11" s="4">
        <f t="shared" si="1"/>
        <v>3143.4659090908972</v>
      </c>
      <c r="F11" s="36">
        <f t="shared" si="2"/>
        <v>83616.193181818177</v>
      </c>
    </row>
    <row r="12" spans="1:6" x14ac:dyDescent="0.25">
      <c r="A12" s="46" t="s">
        <v>46</v>
      </c>
      <c r="B12" s="44">
        <v>16</v>
      </c>
      <c r="C12" s="30">
        <f t="shared" si="0"/>
        <v>0</v>
      </c>
      <c r="D12" s="36">
        <f>B12*C20</f>
        <v>80472.727272727279</v>
      </c>
      <c r="E12" s="4">
        <f t="shared" si="1"/>
        <v>3143.4659090908972</v>
      </c>
      <c r="F12" s="36">
        <f t="shared" si="2"/>
        <v>83616.193181818177</v>
      </c>
    </row>
    <row r="13" spans="1:6" x14ac:dyDescent="0.25">
      <c r="A13" s="46" t="s">
        <v>35</v>
      </c>
      <c r="B13" s="44">
        <v>14</v>
      </c>
      <c r="C13" s="30">
        <f t="shared" si="0"/>
        <v>2</v>
      </c>
      <c r="D13" s="36">
        <f>B13*C20</f>
        <v>70413.636363636368</v>
      </c>
      <c r="E13" s="4">
        <f t="shared" si="1"/>
        <v>0</v>
      </c>
      <c r="F13" s="36">
        <f t="shared" si="2"/>
        <v>70413.636363636368</v>
      </c>
    </row>
    <row r="14" spans="1:6" x14ac:dyDescent="0.25">
      <c r="A14" s="46" t="s">
        <v>51</v>
      </c>
      <c r="B14" s="44">
        <v>16</v>
      </c>
      <c r="C14" s="30">
        <f t="shared" si="0"/>
        <v>0</v>
      </c>
      <c r="D14" s="36">
        <f>B14*C20</f>
        <v>80472.727272727279</v>
      </c>
      <c r="E14" s="4">
        <f t="shared" si="1"/>
        <v>3143.4659090908972</v>
      </c>
      <c r="F14" s="36">
        <f t="shared" si="2"/>
        <v>83616.193181818177</v>
      </c>
    </row>
    <row r="15" spans="1:6" x14ac:dyDescent="0.25">
      <c r="A15" s="92" t="s">
        <v>31</v>
      </c>
      <c r="B15" s="93"/>
      <c r="C15" s="94"/>
      <c r="D15" s="36">
        <f>SUM(D3:D14)</f>
        <v>860052.27272727282</v>
      </c>
      <c r="E15" s="4">
        <f t="shared" si="1"/>
        <v>0</v>
      </c>
      <c r="F15" s="48">
        <f>SUM(F3:F14)</f>
        <v>885200</v>
      </c>
    </row>
    <row r="17" spans="1:14" x14ac:dyDescent="0.25">
      <c r="A17" s="95" t="s">
        <v>14</v>
      </c>
      <c r="B17" s="96"/>
      <c r="C17" s="47">
        <v>11</v>
      </c>
      <c r="K17" s="36"/>
    </row>
    <row r="18" spans="1:14" x14ac:dyDescent="0.25">
      <c r="A18" s="85" t="s">
        <v>4</v>
      </c>
      <c r="B18" s="86"/>
      <c r="C18" s="19">
        <v>885200</v>
      </c>
      <c r="D18" s="19"/>
    </row>
    <row r="19" spans="1:14" x14ac:dyDescent="0.25">
      <c r="A19" s="85" t="s">
        <v>2</v>
      </c>
      <c r="B19" s="86"/>
      <c r="C19" s="10">
        <f>C18/C17</f>
        <v>80472.727272727279</v>
      </c>
    </row>
    <row r="20" spans="1:14" x14ac:dyDescent="0.25">
      <c r="A20" s="85" t="s">
        <v>3</v>
      </c>
      <c r="B20" s="86"/>
      <c r="C20" s="9">
        <f>C19/16</f>
        <v>5029.545454545455</v>
      </c>
    </row>
    <row r="21" spans="1:14" x14ac:dyDescent="0.25">
      <c r="A21" s="85" t="s">
        <v>25</v>
      </c>
      <c r="B21" s="86"/>
      <c r="C21" s="18">
        <f>C18-D15</f>
        <v>25147.727272727177</v>
      </c>
    </row>
    <row r="22" spans="1:14" x14ac:dyDescent="0.25">
      <c r="A22" s="87"/>
      <c r="B22" s="87"/>
      <c r="C22" s="87"/>
    </row>
    <row r="23" spans="1:14" x14ac:dyDescent="0.25">
      <c r="A23" s="80" t="s">
        <v>26</v>
      </c>
      <c r="B23" s="80"/>
      <c r="C23" s="13">
        <v>8</v>
      </c>
    </row>
    <row r="24" spans="1:14" x14ac:dyDescent="0.25">
      <c r="A24" s="80" t="s">
        <v>30</v>
      </c>
      <c r="B24" s="80"/>
      <c r="C24" s="4">
        <f>C21/C23</f>
        <v>3143.4659090908972</v>
      </c>
    </row>
    <row r="28" spans="1:14" x14ac:dyDescent="0.25">
      <c r="N28" s="3"/>
    </row>
  </sheetData>
  <mergeCells count="10">
    <mergeCell ref="A24:B24"/>
    <mergeCell ref="A17:B17"/>
    <mergeCell ref="A22:C22"/>
    <mergeCell ref="A23:B23"/>
    <mergeCell ref="A1:F1"/>
    <mergeCell ref="A15:C15"/>
    <mergeCell ref="A18:B18"/>
    <mergeCell ref="A19:B19"/>
    <mergeCell ref="A20:B20"/>
    <mergeCell ref="A21:B21"/>
  </mergeCells>
  <conditionalFormatting sqref="C3:C8 C10:C14">
    <cfRule type="cellIs" dxfId="8" priority="2" operator="equal">
      <formula>0</formula>
    </cfRule>
  </conditionalFormatting>
  <pageMargins left="0.7" right="0.7" top="0.75" bottom="0.75" header="0.3" footer="0.3"/>
  <pageSetup paperSize="258" orientation="landscape" horizontalDpi="30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F28" sqref="F28"/>
    </sheetView>
  </sheetViews>
  <sheetFormatPr defaultRowHeight="15" x14ac:dyDescent="0.25"/>
  <cols>
    <col min="1" max="1" width="21.7109375" bestFit="1" customWidth="1"/>
    <col min="2" max="2" width="17.42578125" bestFit="1" customWidth="1"/>
    <col min="3" max="3" width="15.5703125" bestFit="1" customWidth="1"/>
    <col min="4" max="4" width="15.42578125" bestFit="1" customWidth="1"/>
    <col min="5" max="5" width="13.5703125" bestFit="1" customWidth="1"/>
    <col min="6" max="6" width="14.42578125" bestFit="1" customWidth="1"/>
    <col min="7" max="7" width="13.7109375" bestFit="1" customWidth="1"/>
    <col min="8" max="8" width="9" bestFit="1" customWidth="1"/>
    <col min="11" max="11" width="18.85546875" customWidth="1"/>
    <col min="14" max="14" width="12.5703125" bestFit="1" customWidth="1"/>
  </cols>
  <sheetData>
    <row r="1" spans="1:8" x14ac:dyDescent="0.25">
      <c r="A1" s="98" t="s">
        <v>52</v>
      </c>
      <c r="B1" s="98"/>
      <c r="C1" s="98"/>
      <c r="D1" s="98"/>
      <c r="E1" s="98"/>
      <c r="F1" s="98"/>
    </row>
    <row r="2" spans="1:8" x14ac:dyDescent="0.25">
      <c r="A2" s="54" t="s">
        <v>29</v>
      </c>
      <c r="B2" s="54" t="s">
        <v>0</v>
      </c>
      <c r="C2" s="54" t="s">
        <v>1</v>
      </c>
      <c r="D2" s="54" t="s">
        <v>13</v>
      </c>
      <c r="E2" s="54" t="s">
        <v>27</v>
      </c>
      <c r="F2" s="54" t="s">
        <v>28</v>
      </c>
    </row>
    <row r="3" spans="1:8" x14ac:dyDescent="0.25">
      <c r="A3" s="55" t="s">
        <v>38</v>
      </c>
      <c r="B3" s="52">
        <v>7</v>
      </c>
      <c r="C3" s="30">
        <f>15-B3</f>
        <v>8</v>
      </c>
      <c r="D3" s="36">
        <f>B3*C20</f>
        <v>21805</v>
      </c>
      <c r="E3" s="4">
        <f>IF(B3=15,(C$24),0)</f>
        <v>0</v>
      </c>
      <c r="F3" s="36">
        <f>D3+E3</f>
        <v>21805</v>
      </c>
    </row>
    <row r="4" spans="1:8" x14ac:dyDescent="0.25">
      <c r="A4" s="55" t="s">
        <v>5</v>
      </c>
      <c r="B4" s="52">
        <v>15</v>
      </c>
      <c r="C4" s="30">
        <f t="shared" ref="C4:C14" si="0">15-B4</f>
        <v>0</v>
      </c>
      <c r="D4" s="36">
        <f>B4*C20</f>
        <v>46725</v>
      </c>
      <c r="E4" s="4">
        <f t="shared" ref="E4:E14" si="1">IF(B4=15,(C$24),0)</f>
        <v>11125</v>
      </c>
      <c r="F4" s="36">
        <f t="shared" ref="F4:F14" si="2">D4+E4</f>
        <v>57850</v>
      </c>
    </row>
    <row r="5" spans="1:8" x14ac:dyDescent="0.25">
      <c r="A5" s="55" t="s">
        <v>50</v>
      </c>
      <c r="B5" s="52">
        <v>15</v>
      </c>
      <c r="C5" s="30">
        <f t="shared" si="0"/>
        <v>0</v>
      </c>
      <c r="D5" s="36">
        <f>B5*C20</f>
        <v>46725</v>
      </c>
      <c r="E5" s="4">
        <f t="shared" si="1"/>
        <v>11125</v>
      </c>
      <c r="F5" s="36">
        <f t="shared" si="2"/>
        <v>57850</v>
      </c>
    </row>
    <row r="6" spans="1:8" x14ac:dyDescent="0.25">
      <c r="A6" s="55" t="s">
        <v>36</v>
      </c>
      <c r="B6" s="52">
        <v>15</v>
      </c>
      <c r="C6" s="30">
        <f t="shared" si="0"/>
        <v>0</v>
      </c>
      <c r="D6" s="36">
        <f>B6*C20</f>
        <v>46725</v>
      </c>
      <c r="E6" s="4">
        <f t="shared" si="1"/>
        <v>11125</v>
      </c>
      <c r="F6" s="36">
        <f t="shared" si="2"/>
        <v>57850</v>
      </c>
    </row>
    <row r="7" spans="1:8" x14ac:dyDescent="0.25">
      <c r="A7" s="55" t="s">
        <v>49</v>
      </c>
      <c r="B7" s="52">
        <v>12</v>
      </c>
      <c r="C7" s="30">
        <f t="shared" si="0"/>
        <v>3</v>
      </c>
      <c r="D7" s="36">
        <f>B7*C20</f>
        <v>37380</v>
      </c>
      <c r="E7" s="4">
        <f t="shared" si="1"/>
        <v>0</v>
      </c>
      <c r="F7" s="36">
        <f t="shared" si="2"/>
        <v>37380</v>
      </c>
    </row>
    <row r="8" spans="1:8" x14ac:dyDescent="0.25">
      <c r="A8" s="49" t="s">
        <v>7</v>
      </c>
      <c r="B8" s="50">
        <v>0</v>
      </c>
      <c r="C8" s="50">
        <f t="shared" si="0"/>
        <v>15</v>
      </c>
      <c r="D8" s="51">
        <f>B8*C20</f>
        <v>0</v>
      </c>
      <c r="E8" s="4">
        <f t="shared" si="1"/>
        <v>0</v>
      </c>
      <c r="F8" s="51">
        <f t="shared" si="2"/>
        <v>0</v>
      </c>
    </row>
    <row r="9" spans="1:8" x14ac:dyDescent="0.25">
      <c r="A9" s="49" t="s">
        <v>16</v>
      </c>
      <c r="B9" s="50">
        <v>0</v>
      </c>
      <c r="C9" s="50">
        <f t="shared" si="0"/>
        <v>15</v>
      </c>
      <c r="D9" s="51">
        <f t="shared" ref="D9" si="3">B9*C26</f>
        <v>0</v>
      </c>
      <c r="E9" s="4">
        <f t="shared" si="1"/>
        <v>0</v>
      </c>
      <c r="F9" s="51">
        <f t="shared" si="2"/>
        <v>0</v>
      </c>
    </row>
    <row r="10" spans="1:8" x14ac:dyDescent="0.25">
      <c r="A10" s="55" t="s">
        <v>44</v>
      </c>
      <c r="B10" s="52">
        <v>15</v>
      </c>
      <c r="C10" s="30">
        <f t="shared" si="0"/>
        <v>0</v>
      </c>
      <c r="D10" s="36">
        <f>B10*C20</f>
        <v>46725</v>
      </c>
      <c r="E10" s="4">
        <f t="shared" si="1"/>
        <v>11125</v>
      </c>
      <c r="F10" s="36">
        <f t="shared" si="2"/>
        <v>57850</v>
      </c>
    </row>
    <row r="11" spans="1:8" x14ac:dyDescent="0.25">
      <c r="A11" s="55" t="s">
        <v>43</v>
      </c>
      <c r="B11" s="52">
        <v>15</v>
      </c>
      <c r="C11" s="30">
        <f t="shared" si="0"/>
        <v>0</v>
      </c>
      <c r="D11" s="36">
        <f>B11*C20</f>
        <v>46725</v>
      </c>
      <c r="E11" s="4">
        <f t="shared" si="1"/>
        <v>11125</v>
      </c>
      <c r="F11" s="36">
        <f t="shared" si="2"/>
        <v>57850</v>
      </c>
    </row>
    <row r="12" spans="1:8" x14ac:dyDescent="0.25">
      <c r="A12" s="55" t="s">
        <v>46</v>
      </c>
      <c r="B12" s="52">
        <v>15</v>
      </c>
      <c r="C12" s="30">
        <f t="shared" si="0"/>
        <v>0</v>
      </c>
      <c r="D12" s="36">
        <f>B12*C20</f>
        <v>46725</v>
      </c>
      <c r="E12" s="4">
        <f t="shared" si="1"/>
        <v>11125</v>
      </c>
      <c r="F12" s="36">
        <f t="shared" si="2"/>
        <v>57850</v>
      </c>
    </row>
    <row r="13" spans="1:8" x14ac:dyDescent="0.25">
      <c r="A13" s="55" t="s">
        <v>35</v>
      </c>
      <c r="B13" s="52">
        <v>11</v>
      </c>
      <c r="C13" s="30">
        <f t="shared" si="0"/>
        <v>4</v>
      </c>
      <c r="D13" s="36">
        <f>B13*C20</f>
        <v>34265</v>
      </c>
      <c r="E13" s="4">
        <f t="shared" si="1"/>
        <v>0</v>
      </c>
      <c r="F13" s="36">
        <f t="shared" si="2"/>
        <v>34265</v>
      </c>
    </row>
    <row r="14" spans="1:8" x14ac:dyDescent="0.25">
      <c r="A14" s="55" t="s">
        <v>51</v>
      </c>
      <c r="B14" s="52">
        <v>15</v>
      </c>
      <c r="C14" s="30">
        <f t="shared" si="0"/>
        <v>0</v>
      </c>
      <c r="D14" s="36">
        <f>B14*C20</f>
        <v>46725</v>
      </c>
      <c r="E14" s="4">
        <f t="shared" si="1"/>
        <v>11125</v>
      </c>
      <c r="F14" s="36">
        <f t="shared" si="2"/>
        <v>57850</v>
      </c>
    </row>
    <row r="15" spans="1:8" x14ac:dyDescent="0.25">
      <c r="A15" s="92" t="s">
        <v>31</v>
      </c>
      <c r="B15" s="93"/>
      <c r="C15" s="94"/>
      <c r="D15" s="36">
        <f>SUM(D3:D14)</f>
        <v>420525</v>
      </c>
      <c r="E15" s="4"/>
      <c r="F15" s="48">
        <f>SUM(F3:F14)</f>
        <v>498400</v>
      </c>
      <c r="G15" s="57"/>
      <c r="H15" s="3"/>
    </row>
    <row r="17" spans="1:14" x14ac:dyDescent="0.25">
      <c r="A17" s="99" t="s">
        <v>14</v>
      </c>
      <c r="B17" s="100"/>
      <c r="C17" s="56">
        <v>10</v>
      </c>
      <c r="K17" s="36"/>
    </row>
    <row r="18" spans="1:14" x14ac:dyDescent="0.25">
      <c r="A18" s="85" t="s">
        <v>4</v>
      </c>
      <c r="B18" s="86"/>
      <c r="C18" s="19">
        <v>498400</v>
      </c>
      <c r="D18" s="19"/>
    </row>
    <row r="19" spans="1:14" x14ac:dyDescent="0.25">
      <c r="A19" s="85" t="s">
        <v>2</v>
      </c>
      <c r="B19" s="86"/>
      <c r="C19" s="10">
        <f>C18/C17</f>
        <v>49840</v>
      </c>
    </row>
    <row r="20" spans="1:14" x14ac:dyDescent="0.25">
      <c r="A20" s="85" t="s">
        <v>3</v>
      </c>
      <c r="B20" s="86"/>
      <c r="C20" s="9">
        <f>C19/16</f>
        <v>3115</v>
      </c>
    </row>
    <row r="21" spans="1:14" x14ac:dyDescent="0.25">
      <c r="A21" s="85" t="s">
        <v>25</v>
      </c>
      <c r="B21" s="86"/>
      <c r="C21" s="18">
        <f>C18-D15</f>
        <v>77875</v>
      </c>
    </row>
    <row r="22" spans="1:14" x14ac:dyDescent="0.25">
      <c r="A22" s="87"/>
      <c r="B22" s="87"/>
      <c r="C22" s="87"/>
    </row>
    <row r="23" spans="1:14" x14ac:dyDescent="0.25">
      <c r="A23" s="80" t="s">
        <v>26</v>
      </c>
      <c r="B23" s="80"/>
      <c r="C23" s="13">
        <v>7</v>
      </c>
    </row>
    <row r="24" spans="1:14" x14ac:dyDescent="0.25">
      <c r="A24" s="80" t="s">
        <v>30</v>
      </c>
      <c r="B24" s="80"/>
      <c r="C24" s="4">
        <f>C21/C23</f>
        <v>11125</v>
      </c>
    </row>
    <row r="28" spans="1:14" x14ac:dyDescent="0.25">
      <c r="N28" s="3"/>
    </row>
  </sheetData>
  <mergeCells count="10">
    <mergeCell ref="A21:B21"/>
    <mergeCell ref="A22:C22"/>
    <mergeCell ref="A23:B23"/>
    <mergeCell ref="A24:B24"/>
    <mergeCell ref="A1:F1"/>
    <mergeCell ref="A15:C15"/>
    <mergeCell ref="A17:B17"/>
    <mergeCell ref="A18:B18"/>
    <mergeCell ref="A19:B19"/>
    <mergeCell ref="A20:B20"/>
  </mergeCells>
  <conditionalFormatting sqref="C3:C7 C10:C14">
    <cfRule type="cellIs" dxfId="7" priority="1" operator="equal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XFD1048576"/>
    </sheetView>
  </sheetViews>
  <sheetFormatPr defaultRowHeight="15" x14ac:dyDescent="0.25"/>
  <cols>
    <col min="1" max="1" width="21.7109375" bestFit="1" customWidth="1"/>
    <col min="2" max="2" width="17.42578125" bestFit="1" customWidth="1"/>
    <col min="3" max="3" width="15.5703125" bestFit="1" customWidth="1"/>
    <col min="4" max="4" width="15.42578125" bestFit="1" customWidth="1"/>
    <col min="5" max="5" width="13.5703125" bestFit="1" customWidth="1"/>
    <col min="6" max="6" width="14.42578125" bestFit="1" customWidth="1"/>
    <col min="7" max="7" width="13.7109375" bestFit="1" customWidth="1"/>
    <col min="8" max="8" width="9" bestFit="1" customWidth="1"/>
    <col min="11" max="11" width="18.85546875" customWidth="1"/>
    <col min="14" max="14" width="12.5703125" bestFit="1" customWidth="1"/>
  </cols>
  <sheetData>
    <row r="1" spans="1:8" x14ac:dyDescent="0.25">
      <c r="A1" s="101" t="s">
        <v>52</v>
      </c>
      <c r="B1" s="101"/>
      <c r="C1" s="101"/>
      <c r="D1" s="101"/>
      <c r="E1" s="101"/>
      <c r="F1" s="101"/>
    </row>
    <row r="2" spans="1:8" x14ac:dyDescent="0.25">
      <c r="A2" s="60" t="s">
        <v>29</v>
      </c>
      <c r="B2" s="60" t="s">
        <v>0</v>
      </c>
      <c r="C2" s="60" t="s">
        <v>1</v>
      </c>
      <c r="D2" s="60" t="s">
        <v>13</v>
      </c>
      <c r="E2" s="60" t="s">
        <v>54</v>
      </c>
      <c r="F2" s="60" t="s">
        <v>28</v>
      </c>
    </row>
    <row r="3" spans="1:8" x14ac:dyDescent="0.25">
      <c r="A3" s="61" t="s">
        <v>53</v>
      </c>
      <c r="B3" s="53">
        <v>13</v>
      </c>
      <c r="C3" s="30">
        <f>13-B3</f>
        <v>0</v>
      </c>
      <c r="D3" s="36">
        <f>B3*C20</f>
        <v>30454.545454545456</v>
      </c>
      <c r="E3" s="4">
        <f>IF(B3=13,(C$24),0)</f>
        <v>4350.6493506493362</v>
      </c>
      <c r="F3" s="36">
        <f>D3+E3</f>
        <v>34805.194805194791</v>
      </c>
    </row>
    <row r="4" spans="1:8" x14ac:dyDescent="0.25">
      <c r="A4" s="61" t="s">
        <v>5</v>
      </c>
      <c r="B4" s="53">
        <v>12</v>
      </c>
      <c r="C4" s="30">
        <f t="shared" ref="C4:C14" si="0">13-B4</f>
        <v>1</v>
      </c>
      <c r="D4" s="36">
        <f>B4*C20</f>
        <v>28111.888111888111</v>
      </c>
      <c r="E4" s="4">
        <f t="shared" ref="E4:E14" si="1">IF(B4=13,(C$24),0)</f>
        <v>0</v>
      </c>
      <c r="F4" s="36">
        <f t="shared" ref="F4:F14" si="2">D4+E4</f>
        <v>28111.888111888111</v>
      </c>
    </row>
    <row r="5" spans="1:8" x14ac:dyDescent="0.25">
      <c r="A5" s="61" t="s">
        <v>50</v>
      </c>
      <c r="B5" s="53">
        <v>13</v>
      </c>
      <c r="C5" s="30">
        <f t="shared" si="0"/>
        <v>0</v>
      </c>
      <c r="D5" s="36">
        <f>B5*C20</f>
        <v>30454.545454545456</v>
      </c>
      <c r="E5" s="4">
        <f t="shared" si="1"/>
        <v>4350.6493506493362</v>
      </c>
      <c r="F5" s="36">
        <f t="shared" si="2"/>
        <v>34805.194805194791</v>
      </c>
    </row>
    <row r="6" spans="1:8" x14ac:dyDescent="0.25">
      <c r="A6" s="61" t="s">
        <v>36</v>
      </c>
      <c r="B6" s="53">
        <v>13</v>
      </c>
      <c r="C6" s="30">
        <f t="shared" si="0"/>
        <v>0</v>
      </c>
      <c r="D6" s="36">
        <f>B6*C20</f>
        <v>30454.545454545456</v>
      </c>
      <c r="E6" s="4">
        <f t="shared" si="1"/>
        <v>4350.6493506493362</v>
      </c>
      <c r="F6" s="36">
        <f t="shared" si="2"/>
        <v>34805.194805194791</v>
      </c>
    </row>
    <row r="7" spans="1:8" x14ac:dyDescent="0.25">
      <c r="A7" s="61" t="s">
        <v>49</v>
      </c>
      <c r="B7" s="53">
        <v>9</v>
      </c>
      <c r="C7" s="30">
        <f t="shared" si="0"/>
        <v>4</v>
      </c>
      <c r="D7" s="36">
        <f>B7*C20</f>
        <v>21083.916083916083</v>
      </c>
      <c r="E7" s="4">
        <f t="shared" si="1"/>
        <v>0</v>
      </c>
      <c r="F7" s="36">
        <f t="shared" si="2"/>
        <v>21083.916083916083</v>
      </c>
    </row>
    <row r="8" spans="1:8" x14ac:dyDescent="0.25">
      <c r="A8" s="61" t="s">
        <v>7</v>
      </c>
      <c r="B8" s="53">
        <v>6</v>
      </c>
      <c r="C8" s="30">
        <f t="shared" si="0"/>
        <v>7</v>
      </c>
      <c r="D8" s="36">
        <f>B8*C20</f>
        <v>14055.944055944055</v>
      </c>
      <c r="E8" s="4">
        <f t="shared" si="1"/>
        <v>0</v>
      </c>
      <c r="F8" s="36">
        <f t="shared" si="2"/>
        <v>14055.944055944055</v>
      </c>
    </row>
    <row r="9" spans="1:8" x14ac:dyDescent="0.25">
      <c r="A9" s="49" t="s">
        <v>16</v>
      </c>
      <c r="B9" s="50"/>
      <c r="C9" s="50">
        <f t="shared" si="0"/>
        <v>13</v>
      </c>
      <c r="D9" s="51">
        <f t="shared" ref="D9" si="3">B9*C26</f>
        <v>0</v>
      </c>
      <c r="E9" s="4">
        <f t="shared" si="1"/>
        <v>0</v>
      </c>
      <c r="F9" s="51">
        <f t="shared" si="2"/>
        <v>0</v>
      </c>
    </row>
    <row r="10" spans="1:8" x14ac:dyDescent="0.25">
      <c r="A10" s="61" t="s">
        <v>44</v>
      </c>
      <c r="B10" s="53">
        <v>13</v>
      </c>
      <c r="C10" s="30">
        <f t="shared" si="0"/>
        <v>0</v>
      </c>
      <c r="D10" s="36">
        <f>B10*C20</f>
        <v>30454.545454545456</v>
      </c>
      <c r="E10" s="4">
        <f t="shared" si="1"/>
        <v>4350.6493506493362</v>
      </c>
      <c r="F10" s="36">
        <f t="shared" si="2"/>
        <v>34805.194805194791</v>
      </c>
    </row>
    <row r="11" spans="1:8" x14ac:dyDescent="0.25">
      <c r="A11" s="61" t="s">
        <v>43</v>
      </c>
      <c r="B11" s="53">
        <v>13</v>
      </c>
      <c r="C11" s="30">
        <f t="shared" si="0"/>
        <v>0</v>
      </c>
      <c r="D11" s="36">
        <f>B11*C20</f>
        <v>30454.545454545456</v>
      </c>
      <c r="E11" s="4">
        <f t="shared" si="1"/>
        <v>4350.6493506493362</v>
      </c>
      <c r="F11" s="36">
        <f t="shared" si="2"/>
        <v>34805.194805194791</v>
      </c>
    </row>
    <row r="12" spans="1:8" x14ac:dyDescent="0.25">
      <c r="A12" s="61" t="s">
        <v>46</v>
      </c>
      <c r="B12" s="53">
        <v>13</v>
      </c>
      <c r="C12" s="30">
        <f t="shared" si="0"/>
        <v>0</v>
      </c>
      <c r="D12" s="36">
        <f>B12*C20</f>
        <v>30454.545454545456</v>
      </c>
      <c r="E12" s="4">
        <f t="shared" si="1"/>
        <v>4350.6493506493362</v>
      </c>
      <c r="F12" s="36">
        <f t="shared" si="2"/>
        <v>34805.194805194791</v>
      </c>
    </row>
    <row r="13" spans="1:8" x14ac:dyDescent="0.25">
      <c r="A13" s="61" t="s">
        <v>35</v>
      </c>
      <c r="B13" s="53">
        <v>12</v>
      </c>
      <c r="C13" s="30">
        <f t="shared" si="0"/>
        <v>1</v>
      </c>
      <c r="D13" s="36">
        <f>B13*C20</f>
        <v>28111.888111888111</v>
      </c>
      <c r="E13" s="4">
        <f t="shared" si="1"/>
        <v>0</v>
      </c>
      <c r="F13" s="36">
        <f t="shared" si="2"/>
        <v>28111.888111888111</v>
      </c>
    </row>
    <row r="14" spans="1:8" x14ac:dyDescent="0.25">
      <c r="A14" s="61" t="s">
        <v>51</v>
      </c>
      <c r="B14" s="53">
        <v>13</v>
      </c>
      <c r="C14" s="30">
        <f t="shared" si="0"/>
        <v>0</v>
      </c>
      <c r="D14" s="36">
        <f>B14*C20</f>
        <v>30454.545454545456</v>
      </c>
      <c r="E14" s="4">
        <f t="shared" si="1"/>
        <v>4350.6493506493362</v>
      </c>
      <c r="F14" s="36">
        <f t="shared" si="2"/>
        <v>34805.194805194791</v>
      </c>
    </row>
    <row r="15" spans="1:8" x14ac:dyDescent="0.25">
      <c r="A15" s="92" t="s">
        <v>31</v>
      </c>
      <c r="B15" s="93"/>
      <c r="C15" s="94"/>
      <c r="D15" s="36">
        <f>SUM(D3:D14)</f>
        <v>304545.45454545465</v>
      </c>
      <c r="E15" s="4"/>
      <c r="F15" s="48">
        <f>SUM(F3:F14)</f>
        <v>334999.99999999994</v>
      </c>
      <c r="G15" s="57"/>
      <c r="H15" s="3"/>
    </row>
    <row r="17" spans="1:14" x14ac:dyDescent="0.25">
      <c r="A17" s="101" t="s">
        <v>14</v>
      </c>
      <c r="B17" s="101"/>
      <c r="C17" s="60">
        <v>11</v>
      </c>
      <c r="K17" s="36"/>
    </row>
    <row r="18" spans="1:14" x14ac:dyDescent="0.25">
      <c r="A18" s="85" t="s">
        <v>4</v>
      </c>
      <c r="B18" s="86"/>
      <c r="C18" s="19">
        <v>335000</v>
      </c>
    </row>
    <row r="19" spans="1:14" x14ac:dyDescent="0.25">
      <c r="A19" s="85" t="s">
        <v>2</v>
      </c>
      <c r="B19" s="86"/>
      <c r="C19" s="10">
        <f>C18/C17</f>
        <v>30454.545454545456</v>
      </c>
    </row>
    <row r="20" spans="1:14" x14ac:dyDescent="0.25">
      <c r="A20" s="85" t="s">
        <v>3</v>
      </c>
      <c r="B20" s="86"/>
      <c r="C20" s="9">
        <f>C19/13</f>
        <v>2342.6573426573427</v>
      </c>
    </row>
    <row r="21" spans="1:14" x14ac:dyDescent="0.25">
      <c r="A21" s="85" t="s">
        <v>25</v>
      </c>
      <c r="B21" s="86"/>
      <c r="C21" s="18">
        <f>C18-D15</f>
        <v>30454.545454545354</v>
      </c>
    </row>
    <row r="22" spans="1:14" x14ac:dyDescent="0.25">
      <c r="A22" s="87"/>
      <c r="B22" s="87"/>
      <c r="C22" s="87"/>
    </row>
    <row r="23" spans="1:14" x14ac:dyDescent="0.25">
      <c r="A23" s="80" t="s">
        <v>26</v>
      </c>
      <c r="B23" s="80"/>
      <c r="C23" s="13">
        <v>7</v>
      </c>
    </row>
    <row r="24" spans="1:14" x14ac:dyDescent="0.25">
      <c r="A24" s="80" t="s">
        <v>55</v>
      </c>
      <c r="B24" s="80"/>
      <c r="C24" s="4">
        <f>C21/C23</f>
        <v>4350.6493506493362</v>
      </c>
    </row>
    <row r="28" spans="1:14" x14ac:dyDescent="0.25">
      <c r="N28" s="3"/>
    </row>
  </sheetData>
  <mergeCells count="10">
    <mergeCell ref="A21:B21"/>
    <mergeCell ref="A22:C22"/>
    <mergeCell ref="A23:B23"/>
    <mergeCell ref="A24:B24"/>
    <mergeCell ref="A1:F1"/>
    <mergeCell ref="A15:C15"/>
    <mergeCell ref="A17:B17"/>
    <mergeCell ref="A18:B18"/>
    <mergeCell ref="A19:B19"/>
    <mergeCell ref="A20:B20"/>
  </mergeCells>
  <conditionalFormatting sqref="C3:C8 C10:C14">
    <cfRule type="cellIs" dxfId="6" priority="2" operator="equal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C20" sqref="C20"/>
    </sheetView>
  </sheetViews>
  <sheetFormatPr defaultRowHeight="15" x14ac:dyDescent="0.25"/>
  <cols>
    <col min="1" max="1" width="21.7109375" bestFit="1" customWidth="1"/>
    <col min="2" max="2" width="17.42578125" bestFit="1" customWidth="1"/>
    <col min="3" max="3" width="15.5703125" bestFit="1" customWidth="1"/>
    <col min="4" max="4" width="15.42578125" bestFit="1" customWidth="1"/>
    <col min="5" max="5" width="13.5703125" bestFit="1" customWidth="1"/>
    <col min="6" max="6" width="14.42578125" bestFit="1" customWidth="1"/>
    <col min="7" max="7" width="13.7109375" bestFit="1" customWidth="1"/>
    <col min="8" max="8" width="9" bestFit="1" customWidth="1"/>
    <col min="11" max="11" width="18.85546875" customWidth="1"/>
    <col min="14" max="14" width="12.5703125" bestFit="1" customWidth="1"/>
  </cols>
  <sheetData>
    <row r="1" spans="1:8" x14ac:dyDescent="0.25">
      <c r="A1" s="98" t="s">
        <v>52</v>
      </c>
      <c r="B1" s="98"/>
      <c r="C1" s="98"/>
      <c r="D1" s="98"/>
      <c r="E1" s="98"/>
      <c r="F1" s="98"/>
    </row>
    <row r="2" spans="1:8" x14ac:dyDescent="0.25">
      <c r="A2" s="59" t="s">
        <v>29</v>
      </c>
      <c r="B2" s="59" t="s">
        <v>0</v>
      </c>
      <c r="C2" s="59" t="s">
        <v>1</v>
      </c>
      <c r="D2" s="59" t="s">
        <v>13</v>
      </c>
      <c r="E2" s="59" t="s">
        <v>27</v>
      </c>
      <c r="F2" s="59" t="s">
        <v>28</v>
      </c>
    </row>
    <row r="3" spans="1:8" x14ac:dyDescent="0.25">
      <c r="A3" s="55" t="s">
        <v>56</v>
      </c>
      <c r="B3" s="58">
        <v>14</v>
      </c>
      <c r="C3" s="30">
        <f>14-B3</f>
        <v>0</v>
      </c>
      <c r="D3" s="36">
        <f>B3*C20</f>
        <v>47713.75</v>
      </c>
      <c r="E3" s="4">
        <f>IF(B3=14,(C$24),0)</f>
        <v>8330.9722222222226</v>
      </c>
      <c r="F3" s="36">
        <f>D3+E3</f>
        <v>56044.722222222219</v>
      </c>
    </row>
    <row r="4" spans="1:8" x14ac:dyDescent="0.25">
      <c r="A4" s="55" t="s">
        <v>5</v>
      </c>
      <c r="B4" s="58">
        <v>14</v>
      </c>
      <c r="C4" s="30">
        <f t="shared" ref="C4:C14" si="0">14-B4</f>
        <v>0</v>
      </c>
      <c r="D4" s="36">
        <f>B4*C20</f>
        <v>47713.75</v>
      </c>
      <c r="E4" s="4">
        <f t="shared" ref="E4:E14" si="1">IF(B4=14,(C$24),0)</f>
        <v>8330.9722222222226</v>
      </c>
      <c r="F4" s="36">
        <f t="shared" ref="F4:F14" si="2">D4+E4</f>
        <v>56044.722222222219</v>
      </c>
    </row>
    <row r="5" spans="1:8" x14ac:dyDescent="0.25">
      <c r="A5" s="55" t="s">
        <v>50</v>
      </c>
      <c r="B5" s="66">
        <v>14</v>
      </c>
      <c r="C5" s="30">
        <f t="shared" si="0"/>
        <v>0</v>
      </c>
      <c r="D5" s="36">
        <f>B5*C20</f>
        <v>47713.75</v>
      </c>
      <c r="E5" s="4">
        <f t="shared" si="1"/>
        <v>8330.9722222222226</v>
      </c>
      <c r="F5" s="36">
        <f t="shared" si="2"/>
        <v>56044.722222222219</v>
      </c>
    </row>
    <row r="6" spans="1:8" x14ac:dyDescent="0.25">
      <c r="A6" s="55" t="s">
        <v>36</v>
      </c>
      <c r="B6" s="66">
        <v>14</v>
      </c>
      <c r="C6" s="30">
        <f t="shared" si="0"/>
        <v>0</v>
      </c>
      <c r="D6" s="36">
        <f>B6*C20</f>
        <v>47713.75</v>
      </c>
      <c r="E6" s="4">
        <f t="shared" si="1"/>
        <v>8330.9722222222226</v>
      </c>
      <c r="F6" s="36">
        <f t="shared" si="2"/>
        <v>56044.722222222219</v>
      </c>
    </row>
    <row r="7" spans="1:8" x14ac:dyDescent="0.25">
      <c r="A7" s="49" t="s">
        <v>49</v>
      </c>
      <c r="B7" s="50">
        <v>0</v>
      </c>
      <c r="C7" s="30">
        <f t="shared" si="0"/>
        <v>14</v>
      </c>
      <c r="D7" s="62">
        <f>B7*C20</f>
        <v>0</v>
      </c>
      <c r="E7" s="4">
        <f t="shared" si="1"/>
        <v>0</v>
      </c>
      <c r="F7" s="62">
        <f t="shared" si="2"/>
        <v>0</v>
      </c>
    </row>
    <row r="8" spans="1:8" x14ac:dyDescent="0.25">
      <c r="A8" s="63" t="s">
        <v>7</v>
      </c>
      <c r="B8" s="64">
        <v>12</v>
      </c>
      <c r="C8" s="30">
        <f t="shared" si="0"/>
        <v>2</v>
      </c>
      <c r="D8" s="65">
        <f>B8*C20</f>
        <v>40897.5</v>
      </c>
      <c r="E8" s="4">
        <f t="shared" si="1"/>
        <v>0</v>
      </c>
      <c r="F8" s="65">
        <f t="shared" si="2"/>
        <v>40897.5</v>
      </c>
    </row>
    <row r="9" spans="1:8" x14ac:dyDescent="0.25">
      <c r="A9" s="49" t="s">
        <v>16</v>
      </c>
      <c r="B9" s="50">
        <v>0</v>
      </c>
      <c r="C9" s="30">
        <f t="shared" si="0"/>
        <v>14</v>
      </c>
      <c r="D9" s="51">
        <f t="shared" ref="D9" si="3">B9*C26</f>
        <v>0</v>
      </c>
      <c r="E9" s="4">
        <f t="shared" si="1"/>
        <v>0</v>
      </c>
      <c r="F9" s="51">
        <f t="shared" si="2"/>
        <v>0</v>
      </c>
    </row>
    <row r="10" spans="1:8" x14ac:dyDescent="0.25">
      <c r="A10" s="55" t="s">
        <v>44</v>
      </c>
      <c r="B10" s="58">
        <v>14</v>
      </c>
      <c r="C10" s="30">
        <f t="shared" si="0"/>
        <v>0</v>
      </c>
      <c r="D10" s="36">
        <f>B10*C20</f>
        <v>47713.75</v>
      </c>
      <c r="E10" s="4">
        <f>IF(B10=14,(C$24),0)</f>
        <v>8330.9722222222226</v>
      </c>
      <c r="F10" s="36">
        <f t="shared" si="2"/>
        <v>56044.722222222219</v>
      </c>
    </row>
    <row r="11" spans="1:8" x14ac:dyDescent="0.25">
      <c r="A11" s="55" t="s">
        <v>43</v>
      </c>
      <c r="B11" s="58">
        <v>14</v>
      </c>
      <c r="C11" s="30">
        <f t="shared" si="0"/>
        <v>0</v>
      </c>
      <c r="D11" s="36">
        <f>B11*C20</f>
        <v>47713.75</v>
      </c>
      <c r="E11" s="4">
        <f t="shared" si="1"/>
        <v>8330.9722222222226</v>
      </c>
      <c r="F11" s="36">
        <f t="shared" si="2"/>
        <v>56044.722222222219</v>
      </c>
    </row>
    <row r="12" spans="1:8" x14ac:dyDescent="0.25">
      <c r="A12" s="55" t="s">
        <v>46</v>
      </c>
      <c r="B12" s="66">
        <v>14</v>
      </c>
      <c r="C12" s="30">
        <f t="shared" si="0"/>
        <v>0</v>
      </c>
      <c r="D12" s="36">
        <f>B12*C20</f>
        <v>47713.75</v>
      </c>
      <c r="E12" s="4">
        <f t="shared" si="1"/>
        <v>8330.9722222222226</v>
      </c>
      <c r="F12" s="36">
        <f t="shared" si="2"/>
        <v>56044.722222222219</v>
      </c>
    </row>
    <row r="13" spans="1:8" x14ac:dyDescent="0.25">
      <c r="A13" s="55" t="s">
        <v>35</v>
      </c>
      <c r="B13" s="66">
        <v>14</v>
      </c>
      <c r="C13" s="30">
        <f t="shared" si="0"/>
        <v>0</v>
      </c>
      <c r="D13" s="36">
        <f>B13*C20</f>
        <v>47713.75</v>
      </c>
      <c r="E13" s="4">
        <f t="shared" si="1"/>
        <v>8330.9722222222226</v>
      </c>
      <c r="F13" s="36">
        <f t="shared" si="2"/>
        <v>56044.722222222219</v>
      </c>
    </row>
    <row r="14" spans="1:8" x14ac:dyDescent="0.25">
      <c r="A14" s="55" t="s">
        <v>51</v>
      </c>
      <c r="B14" s="66">
        <v>14</v>
      </c>
      <c r="C14" s="30">
        <f t="shared" si="0"/>
        <v>0</v>
      </c>
      <c r="D14" s="36">
        <f>B14*C20</f>
        <v>47713.75</v>
      </c>
      <c r="E14" s="4">
        <f t="shared" si="1"/>
        <v>8330.9722222222226</v>
      </c>
      <c r="F14" s="36">
        <f t="shared" si="2"/>
        <v>56044.722222222219</v>
      </c>
    </row>
    <row r="15" spans="1:8" x14ac:dyDescent="0.25">
      <c r="A15" s="92" t="s">
        <v>31</v>
      </c>
      <c r="B15" s="93"/>
      <c r="C15" s="94"/>
      <c r="D15" s="36">
        <f>SUM(D3:D14)</f>
        <v>470321.25</v>
      </c>
      <c r="E15" s="4"/>
      <c r="F15" s="48">
        <f>SUM(F3:F14)</f>
        <v>545300.00000000012</v>
      </c>
      <c r="G15" s="57"/>
      <c r="H15" s="3"/>
    </row>
    <row r="17" spans="1:14" x14ac:dyDescent="0.25">
      <c r="A17" s="99" t="s">
        <v>14</v>
      </c>
      <c r="B17" s="100"/>
      <c r="C17" s="56">
        <v>10</v>
      </c>
      <c r="K17" s="36"/>
    </row>
    <row r="18" spans="1:14" x14ac:dyDescent="0.25">
      <c r="A18" s="85" t="s">
        <v>4</v>
      </c>
      <c r="B18" s="86"/>
      <c r="C18" s="19">
        <v>545300</v>
      </c>
      <c r="D18" s="19"/>
    </row>
    <row r="19" spans="1:14" x14ac:dyDescent="0.25">
      <c r="A19" s="85" t="s">
        <v>2</v>
      </c>
      <c r="B19" s="86"/>
      <c r="C19" s="10">
        <f>C18/C17</f>
        <v>54530</v>
      </c>
    </row>
    <row r="20" spans="1:14" x14ac:dyDescent="0.25">
      <c r="A20" s="85" t="s">
        <v>3</v>
      </c>
      <c r="B20" s="86"/>
      <c r="C20" s="9">
        <f>C19/16</f>
        <v>3408.125</v>
      </c>
    </row>
    <row r="21" spans="1:14" x14ac:dyDescent="0.25">
      <c r="A21" s="85" t="s">
        <v>25</v>
      </c>
      <c r="B21" s="86"/>
      <c r="C21" s="18">
        <f>C18-D15</f>
        <v>74978.75</v>
      </c>
    </row>
    <row r="22" spans="1:14" x14ac:dyDescent="0.25">
      <c r="A22" s="87"/>
      <c r="B22" s="87"/>
      <c r="C22" s="87"/>
    </row>
    <row r="23" spans="1:14" x14ac:dyDescent="0.25">
      <c r="A23" s="80" t="s">
        <v>26</v>
      </c>
      <c r="B23" s="80"/>
      <c r="C23" s="13">
        <v>9</v>
      </c>
    </row>
    <row r="24" spans="1:14" x14ac:dyDescent="0.25">
      <c r="A24" s="80" t="s">
        <v>30</v>
      </c>
      <c r="B24" s="80"/>
      <c r="C24" s="4">
        <f>C21/C23</f>
        <v>8330.9722222222226</v>
      </c>
    </row>
    <row r="28" spans="1:14" x14ac:dyDescent="0.25">
      <c r="N28" s="3"/>
    </row>
  </sheetData>
  <mergeCells count="10">
    <mergeCell ref="A21:B21"/>
    <mergeCell ref="A22:C22"/>
    <mergeCell ref="A23:B23"/>
    <mergeCell ref="A24:B24"/>
    <mergeCell ref="A1:F1"/>
    <mergeCell ref="A15:C15"/>
    <mergeCell ref="A17:B17"/>
    <mergeCell ref="A18:B18"/>
    <mergeCell ref="A19:B19"/>
    <mergeCell ref="A20:B20"/>
  </mergeCells>
  <conditionalFormatting sqref="C3:C14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C21" sqref="C21"/>
    </sheetView>
  </sheetViews>
  <sheetFormatPr defaultRowHeight="15" x14ac:dyDescent="0.25"/>
  <cols>
    <col min="1" max="1" width="21.7109375" bestFit="1" customWidth="1"/>
    <col min="2" max="2" width="17.42578125" bestFit="1" customWidth="1"/>
    <col min="3" max="3" width="15.5703125" bestFit="1" customWidth="1"/>
    <col min="4" max="4" width="15.42578125" bestFit="1" customWidth="1"/>
    <col min="5" max="5" width="13.5703125" bestFit="1" customWidth="1"/>
    <col min="6" max="6" width="14.42578125" bestFit="1" customWidth="1"/>
    <col min="7" max="7" width="13.7109375" bestFit="1" customWidth="1"/>
    <col min="8" max="8" width="9" bestFit="1" customWidth="1"/>
    <col min="11" max="11" width="18.85546875" customWidth="1"/>
    <col min="14" max="14" width="12.5703125" bestFit="1" customWidth="1"/>
  </cols>
  <sheetData>
    <row r="1" spans="1:8" x14ac:dyDescent="0.25">
      <c r="A1" s="98" t="s">
        <v>52</v>
      </c>
      <c r="B1" s="98"/>
      <c r="C1" s="98"/>
      <c r="D1" s="98"/>
      <c r="E1" s="98"/>
      <c r="F1" s="98"/>
    </row>
    <row r="2" spans="1:8" x14ac:dyDescent="0.25">
      <c r="A2" s="68" t="s">
        <v>29</v>
      </c>
      <c r="B2" s="68" t="s">
        <v>0</v>
      </c>
      <c r="C2" s="68" t="s">
        <v>1</v>
      </c>
      <c r="D2" s="68" t="s">
        <v>13</v>
      </c>
      <c r="E2" s="68" t="s">
        <v>27</v>
      </c>
      <c r="F2" s="68" t="s">
        <v>28</v>
      </c>
    </row>
    <row r="3" spans="1:8" x14ac:dyDescent="0.25">
      <c r="A3" s="55" t="s">
        <v>56</v>
      </c>
      <c r="B3" s="67">
        <v>15</v>
      </c>
      <c r="C3" s="30">
        <f>15-B3</f>
        <v>0</v>
      </c>
      <c r="D3" s="36">
        <f>B3*C21</f>
        <v>66917.897727272735</v>
      </c>
      <c r="E3" s="4">
        <f t="shared" ref="E3:E11" si="0">IF(B3=12,(C$25),0)</f>
        <v>0</v>
      </c>
      <c r="F3" s="36">
        <f>D3+E3</f>
        <v>66917.897727272735</v>
      </c>
    </row>
    <row r="4" spans="1:8" x14ac:dyDescent="0.25">
      <c r="A4" s="55" t="s">
        <v>5</v>
      </c>
      <c r="B4" s="67">
        <v>15</v>
      </c>
      <c r="C4" s="30">
        <f t="shared" ref="C4:C15" si="1">15-B4</f>
        <v>0</v>
      </c>
      <c r="D4" s="36">
        <f>B4*C21</f>
        <v>66917.897727272735</v>
      </c>
      <c r="E4" s="4">
        <f t="shared" si="0"/>
        <v>0</v>
      </c>
      <c r="F4" s="36">
        <f t="shared" ref="F4:F15" si="2">D4+E4</f>
        <v>66917.897727272735</v>
      </c>
    </row>
    <row r="5" spans="1:8" x14ac:dyDescent="0.25">
      <c r="A5" s="55" t="s">
        <v>50</v>
      </c>
      <c r="B5" s="67">
        <v>15</v>
      </c>
      <c r="C5" s="30">
        <f t="shared" si="1"/>
        <v>0</v>
      </c>
      <c r="D5" s="36">
        <f>B5*C21</f>
        <v>66917.897727272735</v>
      </c>
      <c r="E5" s="4">
        <f t="shared" si="0"/>
        <v>0</v>
      </c>
      <c r="F5" s="36">
        <f t="shared" si="2"/>
        <v>66917.897727272735</v>
      </c>
    </row>
    <row r="6" spans="1:8" x14ac:dyDescent="0.25">
      <c r="A6" s="55" t="s">
        <v>36</v>
      </c>
      <c r="B6" s="67">
        <v>13</v>
      </c>
      <c r="C6" s="30">
        <f t="shared" si="1"/>
        <v>2</v>
      </c>
      <c r="D6" s="36">
        <f>B6*C21</f>
        <v>57995.511363636368</v>
      </c>
      <c r="E6" s="4">
        <f t="shared" si="0"/>
        <v>0</v>
      </c>
      <c r="F6" s="36">
        <f t="shared" si="2"/>
        <v>57995.511363636368</v>
      </c>
    </row>
    <row r="7" spans="1:8" x14ac:dyDescent="0.25">
      <c r="A7" s="55" t="s">
        <v>49</v>
      </c>
      <c r="B7" s="67">
        <v>11</v>
      </c>
      <c r="C7" s="30">
        <f t="shared" si="1"/>
        <v>4</v>
      </c>
      <c r="D7" s="36">
        <f>B7*C21</f>
        <v>49073.125</v>
      </c>
      <c r="E7" s="4">
        <f t="shared" si="0"/>
        <v>0</v>
      </c>
      <c r="F7" s="36">
        <f t="shared" si="2"/>
        <v>49073.125</v>
      </c>
    </row>
    <row r="8" spans="1:8" x14ac:dyDescent="0.25">
      <c r="A8" s="55" t="s">
        <v>7</v>
      </c>
      <c r="B8" s="67">
        <v>13</v>
      </c>
      <c r="C8" s="30">
        <f t="shared" si="1"/>
        <v>2</v>
      </c>
      <c r="D8" s="36">
        <f>B8*C21</f>
        <v>57995.511363636368</v>
      </c>
      <c r="E8" s="4">
        <f t="shared" si="0"/>
        <v>0</v>
      </c>
      <c r="F8" s="36">
        <f t="shared" si="2"/>
        <v>57995.511363636368</v>
      </c>
    </row>
    <row r="9" spans="1:8" x14ac:dyDescent="0.25">
      <c r="A9" s="49" t="s">
        <v>16</v>
      </c>
      <c r="B9" s="50"/>
      <c r="C9" s="50"/>
      <c r="D9" s="62">
        <f t="shared" ref="D9" si="3">B9*C27</f>
        <v>0</v>
      </c>
      <c r="E9" s="62">
        <f t="shared" si="0"/>
        <v>0</v>
      </c>
      <c r="F9" s="62">
        <f t="shared" si="2"/>
        <v>0</v>
      </c>
    </row>
    <row r="10" spans="1:8" x14ac:dyDescent="0.25">
      <c r="A10" s="55" t="s">
        <v>44</v>
      </c>
      <c r="B10" s="67">
        <v>15</v>
      </c>
      <c r="C10" s="30">
        <f t="shared" si="1"/>
        <v>0</v>
      </c>
      <c r="D10" s="36">
        <f>B10*C21</f>
        <v>66917.897727272735</v>
      </c>
      <c r="E10" s="4">
        <f t="shared" si="0"/>
        <v>0</v>
      </c>
      <c r="F10" s="36">
        <f t="shared" si="2"/>
        <v>66917.897727272735</v>
      </c>
    </row>
    <row r="11" spans="1:8" x14ac:dyDescent="0.25">
      <c r="A11" s="55" t="s">
        <v>43</v>
      </c>
      <c r="B11" s="67">
        <v>14</v>
      </c>
      <c r="C11" s="30">
        <f t="shared" si="1"/>
        <v>1</v>
      </c>
      <c r="D11" s="36">
        <f>B11*C21</f>
        <v>62456.704545454544</v>
      </c>
      <c r="E11" s="4">
        <f t="shared" si="0"/>
        <v>0</v>
      </c>
      <c r="F11" s="36">
        <f t="shared" si="2"/>
        <v>62456.704545454544</v>
      </c>
    </row>
    <row r="12" spans="1:8" x14ac:dyDescent="0.25">
      <c r="A12" s="55"/>
      <c r="B12" s="69">
        <v>14</v>
      </c>
      <c r="C12" s="30"/>
      <c r="D12" s="36">
        <f ca="1">B12*C22</f>
        <v>62456.704545454544</v>
      </c>
      <c r="E12" s="4"/>
      <c r="F12" s="36"/>
    </row>
    <row r="13" spans="1:8" x14ac:dyDescent="0.25">
      <c r="A13" s="55" t="s">
        <v>46</v>
      </c>
      <c r="B13" s="67">
        <v>15</v>
      </c>
      <c r="C13" s="30">
        <f t="shared" si="1"/>
        <v>0</v>
      </c>
      <c r="D13" s="36">
        <f>B13*C21</f>
        <v>66917.897727272735</v>
      </c>
      <c r="E13" s="4">
        <f>IF(B13=12,(C$25),0)</f>
        <v>0</v>
      </c>
      <c r="F13" s="36">
        <f t="shared" si="2"/>
        <v>66917.897727272735</v>
      </c>
    </row>
    <row r="14" spans="1:8" x14ac:dyDescent="0.25">
      <c r="A14" s="55" t="s">
        <v>35</v>
      </c>
      <c r="B14" s="67">
        <v>13</v>
      </c>
      <c r="C14" s="30">
        <f t="shared" si="1"/>
        <v>2</v>
      </c>
      <c r="D14" s="36">
        <f>B14*C21</f>
        <v>57995.511363636368</v>
      </c>
      <c r="E14" s="4">
        <f>IF(B14=12,(C$25),0)</f>
        <v>0</v>
      </c>
      <c r="F14" s="36">
        <f t="shared" si="2"/>
        <v>57995.511363636368</v>
      </c>
    </row>
    <row r="15" spans="1:8" x14ac:dyDescent="0.25">
      <c r="A15" s="55" t="s">
        <v>51</v>
      </c>
      <c r="B15" s="67">
        <v>15</v>
      </c>
      <c r="C15" s="30">
        <f t="shared" si="1"/>
        <v>0</v>
      </c>
      <c r="D15" s="36">
        <f>B15*C21</f>
        <v>66917.897727272735</v>
      </c>
      <c r="E15" s="4">
        <f>IF(B15=12,(C$25),0)</f>
        <v>0</v>
      </c>
      <c r="F15" s="36">
        <f t="shared" si="2"/>
        <v>66917.897727272735</v>
      </c>
    </row>
    <row r="16" spans="1:8" x14ac:dyDescent="0.25">
      <c r="A16" s="92" t="s">
        <v>31</v>
      </c>
      <c r="B16" s="93"/>
      <c r="C16" s="94"/>
      <c r="D16" s="48">
        <f ca="1">SUM(D3:D15)</f>
        <v>687023.75</v>
      </c>
      <c r="E16" s="4"/>
      <c r="F16" s="48">
        <f>SUM(F3:F15)</f>
        <v>687023.75</v>
      </c>
      <c r="G16" s="57"/>
      <c r="H16" s="3"/>
    </row>
    <row r="18" spans="1:14" x14ac:dyDescent="0.25">
      <c r="A18" s="99" t="s">
        <v>14</v>
      </c>
      <c r="B18" s="100"/>
      <c r="C18" s="56">
        <v>11</v>
      </c>
    </row>
    <row r="19" spans="1:14" x14ac:dyDescent="0.25">
      <c r="A19" s="85" t="s">
        <v>4</v>
      </c>
      <c r="B19" s="86"/>
      <c r="C19" s="19">
        <v>785170</v>
      </c>
      <c r="D19" s="19"/>
    </row>
    <row r="20" spans="1:14" x14ac:dyDescent="0.25">
      <c r="A20" s="85" t="s">
        <v>2</v>
      </c>
      <c r="B20" s="86"/>
      <c r="C20" s="19">
        <f>C19/C18</f>
        <v>71379.090909090912</v>
      </c>
    </row>
    <row r="21" spans="1:14" x14ac:dyDescent="0.25">
      <c r="A21" s="85" t="s">
        <v>3</v>
      </c>
      <c r="B21" s="86"/>
      <c r="C21" s="9">
        <f>C20/16</f>
        <v>4461.193181818182</v>
      </c>
    </row>
    <row r="22" spans="1:14" x14ac:dyDescent="0.25">
      <c r="A22" s="85" t="s">
        <v>25</v>
      </c>
      <c r="B22" s="86"/>
      <c r="C22" s="18">
        <f ca="1">C19-D16</f>
        <v>98146.25</v>
      </c>
    </row>
    <row r="23" spans="1:14" x14ac:dyDescent="0.25">
      <c r="A23" s="87"/>
      <c r="B23" s="87"/>
      <c r="C23" s="87"/>
    </row>
    <row r="24" spans="1:14" x14ac:dyDescent="0.25">
      <c r="A24" s="80" t="s">
        <v>26</v>
      </c>
      <c r="B24" s="80"/>
      <c r="C24" s="13">
        <v>6</v>
      </c>
    </row>
    <row r="25" spans="1:14" x14ac:dyDescent="0.25">
      <c r="A25" s="80" t="s">
        <v>30</v>
      </c>
      <c r="B25" s="80"/>
      <c r="C25" s="4">
        <f ca="1">C22/C24</f>
        <v>16357.708333333334</v>
      </c>
    </row>
    <row r="29" spans="1:14" x14ac:dyDescent="0.25">
      <c r="N29" s="3"/>
    </row>
  </sheetData>
  <mergeCells count="10">
    <mergeCell ref="A22:B22"/>
    <mergeCell ref="A23:C23"/>
    <mergeCell ref="A24:B24"/>
    <mergeCell ref="A25:B25"/>
    <mergeCell ref="A1:F1"/>
    <mergeCell ref="A16:C16"/>
    <mergeCell ref="A18:B18"/>
    <mergeCell ref="A19:B19"/>
    <mergeCell ref="A20:B20"/>
    <mergeCell ref="A21:B21"/>
  </mergeCells>
  <conditionalFormatting sqref="C3:C8 C10:C11 C13:C15">
    <cfRule type="cellIs" dxfId="4" priority="3" operator="equal">
      <formula>0</formula>
    </cfRule>
  </conditionalFormatting>
  <conditionalFormatting sqref="C12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E4" sqref="E4"/>
    </sheetView>
  </sheetViews>
  <sheetFormatPr defaultRowHeight="15" x14ac:dyDescent="0.25"/>
  <cols>
    <col min="1" max="1" width="21.7109375" bestFit="1" customWidth="1"/>
    <col min="2" max="2" width="17.42578125" bestFit="1" customWidth="1"/>
    <col min="3" max="3" width="15.5703125" bestFit="1" customWidth="1"/>
    <col min="4" max="4" width="15.42578125" bestFit="1" customWidth="1"/>
    <col min="5" max="5" width="13.5703125" bestFit="1" customWidth="1"/>
    <col min="6" max="6" width="14.42578125" bestFit="1" customWidth="1"/>
    <col min="7" max="7" width="13.7109375" bestFit="1" customWidth="1"/>
    <col min="8" max="9" width="12.5703125" bestFit="1" customWidth="1"/>
    <col min="11" max="11" width="18.85546875" customWidth="1"/>
    <col min="14" max="14" width="12.5703125" bestFit="1" customWidth="1"/>
  </cols>
  <sheetData>
    <row r="1" spans="1:9" x14ac:dyDescent="0.25">
      <c r="A1" s="98" t="s">
        <v>52</v>
      </c>
      <c r="B1" s="98"/>
      <c r="C1" s="98"/>
      <c r="D1" s="98"/>
      <c r="E1" s="98"/>
      <c r="F1" s="98"/>
    </row>
    <row r="2" spans="1:9" x14ac:dyDescent="0.25">
      <c r="A2" s="70" t="s">
        <v>29</v>
      </c>
      <c r="B2" s="70" t="s">
        <v>0</v>
      </c>
      <c r="C2" s="70" t="s">
        <v>1</v>
      </c>
      <c r="D2" s="70" t="s">
        <v>13</v>
      </c>
      <c r="E2" s="70" t="s">
        <v>27</v>
      </c>
      <c r="F2" s="70" t="s">
        <v>28</v>
      </c>
    </row>
    <row r="3" spans="1:9" x14ac:dyDescent="0.25">
      <c r="A3" s="55" t="s">
        <v>56</v>
      </c>
      <c r="B3" s="69">
        <v>19</v>
      </c>
      <c r="C3" s="30">
        <f t="shared" ref="C3:C15" si="0">19-B3</f>
        <v>0</v>
      </c>
      <c r="D3" s="36">
        <f>B3*C21</f>
        <v>65430.833333333343</v>
      </c>
      <c r="E3" s="4">
        <f>IF(B3=19,(C$25),0)</f>
        <v>17907.385964912246</v>
      </c>
      <c r="F3" s="36">
        <f>D3+E3</f>
        <v>83338.219298245589</v>
      </c>
    </row>
    <row r="4" spans="1:9" x14ac:dyDescent="0.25">
      <c r="A4" s="55" t="s">
        <v>5</v>
      </c>
      <c r="B4" s="69">
        <v>9</v>
      </c>
      <c r="C4" s="30">
        <f t="shared" si="0"/>
        <v>10</v>
      </c>
      <c r="D4" s="36">
        <f>B4*C21</f>
        <v>30993.55263157895</v>
      </c>
      <c r="E4" s="4">
        <f t="shared" ref="E4:E15" si="1">IF(B4=19,(C$25),0)</f>
        <v>0</v>
      </c>
      <c r="F4" s="36">
        <f t="shared" ref="F4:F15" si="2">D4+E4</f>
        <v>30993.55263157895</v>
      </c>
    </row>
    <row r="5" spans="1:9" x14ac:dyDescent="0.25">
      <c r="A5" s="55" t="s">
        <v>50</v>
      </c>
      <c r="B5" s="69">
        <v>19</v>
      </c>
      <c r="C5" s="30">
        <f t="shared" si="0"/>
        <v>0</v>
      </c>
      <c r="D5" s="36">
        <f>B5*C21</f>
        <v>65430.833333333343</v>
      </c>
      <c r="E5" s="4">
        <f t="shared" si="1"/>
        <v>17907.385964912246</v>
      </c>
      <c r="F5" s="36">
        <f t="shared" si="2"/>
        <v>83338.219298245589</v>
      </c>
      <c r="I5" s="3"/>
    </row>
    <row r="6" spans="1:9" x14ac:dyDescent="0.25">
      <c r="A6" s="55" t="s">
        <v>36</v>
      </c>
      <c r="B6" s="69">
        <v>17</v>
      </c>
      <c r="C6" s="30">
        <f t="shared" si="0"/>
        <v>2</v>
      </c>
      <c r="D6" s="36">
        <f>B6*C21</f>
        <v>58543.377192982458</v>
      </c>
      <c r="E6" s="4">
        <f t="shared" si="1"/>
        <v>0</v>
      </c>
      <c r="F6" s="36">
        <f t="shared" si="2"/>
        <v>58543.377192982458</v>
      </c>
    </row>
    <row r="7" spans="1:9" x14ac:dyDescent="0.25">
      <c r="A7" s="55" t="s">
        <v>49</v>
      </c>
      <c r="B7" s="69">
        <v>17</v>
      </c>
      <c r="C7" s="30">
        <f t="shared" si="0"/>
        <v>2</v>
      </c>
      <c r="D7" s="36">
        <f>B7*C21</f>
        <v>58543.377192982458</v>
      </c>
      <c r="E7" s="4">
        <f t="shared" si="1"/>
        <v>0</v>
      </c>
      <c r="F7" s="71">
        <f t="shared" si="2"/>
        <v>58543.377192982458</v>
      </c>
    </row>
    <row r="8" spans="1:9" x14ac:dyDescent="0.25">
      <c r="A8" s="63" t="s">
        <v>7</v>
      </c>
      <c r="B8" s="64">
        <v>17</v>
      </c>
      <c r="C8" s="30">
        <f t="shared" si="0"/>
        <v>2</v>
      </c>
      <c r="D8" s="65">
        <f>B8*C21</f>
        <v>58543.377192982458</v>
      </c>
      <c r="E8" s="4">
        <f t="shared" si="1"/>
        <v>0</v>
      </c>
      <c r="F8" s="65">
        <f t="shared" si="2"/>
        <v>58543.377192982458</v>
      </c>
    </row>
    <row r="9" spans="1:9" x14ac:dyDescent="0.25">
      <c r="A9" s="49" t="s">
        <v>16</v>
      </c>
      <c r="B9" s="50">
        <v>0</v>
      </c>
      <c r="C9" s="30">
        <f t="shared" si="0"/>
        <v>19</v>
      </c>
      <c r="D9" s="51">
        <f t="shared" ref="D9" si="3">B9*C27</f>
        <v>0</v>
      </c>
      <c r="E9" s="4">
        <f t="shared" si="1"/>
        <v>0</v>
      </c>
      <c r="F9" s="51">
        <f t="shared" si="2"/>
        <v>0</v>
      </c>
    </row>
    <row r="10" spans="1:9" x14ac:dyDescent="0.25">
      <c r="A10" s="55" t="s">
        <v>44</v>
      </c>
      <c r="B10" s="69">
        <v>19</v>
      </c>
      <c r="C10" s="30">
        <f t="shared" si="0"/>
        <v>0</v>
      </c>
      <c r="D10" s="36">
        <f>B10*C21</f>
        <v>65430.833333333343</v>
      </c>
      <c r="E10" s="4">
        <f t="shared" si="1"/>
        <v>17907.385964912246</v>
      </c>
      <c r="F10" s="36">
        <f t="shared" si="2"/>
        <v>83338.219298245589</v>
      </c>
    </row>
    <row r="11" spans="1:9" x14ac:dyDescent="0.25">
      <c r="A11" s="55" t="s">
        <v>43</v>
      </c>
      <c r="B11" s="69">
        <v>18</v>
      </c>
      <c r="C11" s="30">
        <f t="shared" si="0"/>
        <v>1</v>
      </c>
      <c r="D11" s="36">
        <f>B11*C21</f>
        <v>61987.1052631579</v>
      </c>
      <c r="E11" s="4">
        <f t="shared" si="1"/>
        <v>0</v>
      </c>
      <c r="F11" s="36">
        <f t="shared" si="2"/>
        <v>61987.1052631579</v>
      </c>
    </row>
    <row r="12" spans="1:9" x14ac:dyDescent="0.25">
      <c r="A12" s="55" t="s">
        <v>46</v>
      </c>
      <c r="B12" s="69">
        <v>19</v>
      </c>
      <c r="C12" s="30">
        <f t="shared" si="0"/>
        <v>0</v>
      </c>
      <c r="D12" s="36">
        <f>B12*C21</f>
        <v>65430.833333333343</v>
      </c>
      <c r="E12" s="4">
        <f t="shared" si="1"/>
        <v>17907.385964912246</v>
      </c>
      <c r="F12" s="36">
        <f t="shared" si="2"/>
        <v>83338.219298245589</v>
      </c>
    </row>
    <row r="13" spans="1:9" x14ac:dyDescent="0.25">
      <c r="A13" s="55" t="s">
        <v>35</v>
      </c>
      <c r="B13" s="69">
        <v>17</v>
      </c>
      <c r="C13" s="30">
        <f t="shared" si="0"/>
        <v>2</v>
      </c>
      <c r="D13" s="36">
        <f>B13*C21</f>
        <v>58543.377192982458</v>
      </c>
      <c r="E13" s="4">
        <f t="shared" si="1"/>
        <v>0</v>
      </c>
      <c r="F13" s="36">
        <f t="shared" si="2"/>
        <v>58543.377192982458</v>
      </c>
    </row>
    <row r="14" spans="1:9" x14ac:dyDescent="0.25">
      <c r="A14" s="55" t="s">
        <v>57</v>
      </c>
      <c r="B14" s="69">
        <v>12</v>
      </c>
      <c r="C14" s="30">
        <f t="shared" si="0"/>
        <v>7</v>
      </c>
      <c r="D14" s="36">
        <f>B14*C21</f>
        <v>41324.736842105267</v>
      </c>
      <c r="E14" s="4">
        <f t="shared" si="1"/>
        <v>0</v>
      </c>
      <c r="F14" s="36">
        <f>D14+E14</f>
        <v>41324.736842105267</v>
      </c>
    </row>
    <row r="15" spans="1:9" x14ac:dyDescent="0.25">
      <c r="A15" s="55" t="s">
        <v>51</v>
      </c>
      <c r="B15" s="69">
        <v>19</v>
      </c>
      <c r="C15" s="30">
        <f t="shared" si="0"/>
        <v>0</v>
      </c>
      <c r="D15" s="36">
        <f>B15*C21</f>
        <v>65430.833333333343</v>
      </c>
      <c r="E15" s="4">
        <f t="shared" si="1"/>
        <v>17907.385964912246</v>
      </c>
      <c r="F15" s="36">
        <f t="shared" si="2"/>
        <v>83338.219298245589</v>
      </c>
    </row>
    <row r="16" spans="1:9" x14ac:dyDescent="0.25">
      <c r="A16" s="92" t="s">
        <v>31</v>
      </c>
      <c r="B16" s="93"/>
      <c r="C16" s="94"/>
      <c r="D16" s="36">
        <f>D3+D4+D5+D6+D7+D8+D9+D10+D11+D12+D13+D14+D15</f>
        <v>695633.07017543877</v>
      </c>
      <c r="E16" s="4"/>
      <c r="F16" s="48">
        <f>SUM(F3:F15)</f>
        <v>785170</v>
      </c>
      <c r="G16" s="57"/>
      <c r="H16" s="3"/>
    </row>
    <row r="17" spans="1:14" x14ac:dyDescent="0.25">
      <c r="I17" s="3"/>
    </row>
    <row r="18" spans="1:14" x14ac:dyDescent="0.25">
      <c r="A18" s="99" t="s">
        <v>14</v>
      </c>
      <c r="B18" s="100"/>
      <c r="C18" s="56">
        <v>12</v>
      </c>
      <c r="K18" s="36"/>
    </row>
    <row r="19" spans="1:14" x14ac:dyDescent="0.25">
      <c r="A19" s="85" t="s">
        <v>4</v>
      </c>
      <c r="B19" s="86"/>
      <c r="C19" s="19">
        <v>785170</v>
      </c>
      <c r="D19" s="19"/>
      <c r="G19" s="3"/>
      <c r="H19" s="3"/>
    </row>
    <row r="20" spans="1:14" x14ac:dyDescent="0.25">
      <c r="A20" s="85" t="s">
        <v>2</v>
      </c>
      <c r="B20" s="86"/>
      <c r="C20" s="10">
        <f>C19/C18</f>
        <v>65430.833333333336</v>
      </c>
    </row>
    <row r="21" spans="1:14" x14ac:dyDescent="0.25">
      <c r="A21" s="85" t="s">
        <v>3</v>
      </c>
      <c r="B21" s="86"/>
      <c r="C21" s="9">
        <f>C20/19</f>
        <v>3443.7280701754389</v>
      </c>
      <c r="G21" s="3"/>
    </row>
    <row r="22" spans="1:14" x14ac:dyDescent="0.25">
      <c r="A22" s="85" t="s">
        <v>25</v>
      </c>
      <c r="B22" s="86"/>
      <c r="C22" s="18">
        <f>C19-D16</f>
        <v>89536.92982456123</v>
      </c>
    </row>
    <row r="23" spans="1:14" x14ac:dyDescent="0.25">
      <c r="A23" s="87"/>
      <c r="B23" s="87"/>
      <c r="C23" s="87"/>
    </row>
    <row r="24" spans="1:14" x14ac:dyDescent="0.25">
      <c r="A24" s="80" t="s">
        <v>26</v>
      </c>
      <c r="B24" s="80"/>
      <c r="C24" s="13">
        <v>5</v>
      </c>
    </row>
    <row r="25" spans="1:14" x14ac:dyDescent="0.25">
      <c r="A25" s="80" t="s">
        <v>30</v>
      </c>
      <c r="B25" s="80"/>
      <c r="C25" s="36">
        <f>C22/C24</f>
        <v>17907.385964912246</v>
      </c>
    </row>
    <row r="29" spans="1:14" x14ac:dyDescent="0.25">
      <c r="N29" s="3"/>
    </row>
  </sheetData>
  <mergeCells count="10">
    <mergeCell ref="A22:B22"/>
    <mergeCell ref="A23:C23"/>
    <mergeCell ref="A24:B24"/>
    <mergeCell ref="A25:B25"/>
    <mergeCell ref="A1:F1"/>
    <mergeCell ref="A16:C16"/>
    <mergeCell ref="A18:B18"/>
    <mergeCell ref="A19:B19"/>
    <mergeCell ref="A20:B20"/>
    <mergeCell ref="A21:B21"/>
  </mergeCells>
  <conditionalFormatting sqref="C3:C15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sqref="A1:F1"/>
    </sheetView>
  </sheetViews>
  <sheetFormatPr defaultRowHeight="15" x14ac:dyDescent="0.25"/>
  <cols>
    <col min="1" max="1" width="21.5703125" bestFit="1" customWidth="1"/>
    <col min="2" max="2" width="17.42578125" bestFit="1" customWidth="1"/>
    <col min="3" max="3" width="15.5703125" bestFit="1" customWidth="1"/>
    <col min="4" max="4" width="15.42578125" bestFit="1" customWidth="1"/>
    <col min="5" max="5" width="13.5703125" bestFit="1" customWidth="1"/>
    <col min="6" max="6" width="14.42578125" bestFit="1" customWidth="1"/>
  </cols>
  <sheetData>
    <row r="1" spans="1:6" x14ac:dyDescent="0.25">
      <c r="A1" s="84" t="s">
        <v>33</v>
      </c>
      <c r="B1" s="84"/>
      <c r="C1" s="84"/>
      <c r="D1" s="84"/>
      <c r="E1" s="84"/>
      <c r="F1" s="84"/>
    </row>
    <row r="2" spans="1:6" x14ac:dyDescent="0.25">
      <c r="A2" s="15" t="s">
        <v>29</v>
      </c>
      <c r="B2" s="15" t="s">
        <v>0</v>
      </c>
      <c r="C2" s="15" t="s">
        <v>1</v>
      </c>
      <c r="D2" s="15" t="s">
        <v>13</v>
      </c>
      <c r="E2" s="12" t="s">
        <v>27</v>
      </c>
      <c r="F2" s="12" t="s">
        <v>28</v>
      </c>
    </row>
    <row r="3" spans="1:6" x14ac:dyDescent="0.25">
      <c r="A3" s="1" t="s">
        <v>6</v>
      </c>
      <c r="B3" s="11">
        <v>15</v>
      </c>
      <c r="C3" s="11"/>
      <c r="D3" s="4">
        <f>B3*C$29</f>
        <v>41983.333333333336</v>
      </c>
      <c r="E3" s="16">
        <f t="shared" ref="E3:E20" si="0">IF(B3=15,(C$33),0)</f>
        <v>11195.555555555562</v>
      </c>
      <c r="F3" s="4">
        <f>D3+E3</f>
        <v>53178.888888888898</v>
      </c>
    </row>
    <row r="4" spans="1:6" x14ac:dyDescent="0.25">
      <c r="A4" s="1" t="s">
        <v>7</v>
      </c>
      <c r="B4" s="11">
        <v>12</v>
      </c>
      <c r="C4" s="11">
        <f t="shared" ref="C4:C20" si="1">15-B4</f>
        <v>3</v>
      </c>
      <c r="D4" s="4">
        <f t="shared" ref="D4:D20" si="2">B4*C$29</f>
        <v>33586.666666666672</v>
      </c>
      <c r="E4" s="16">
        <f t="shared" si="0"/>
        <v>0</v>
      </c>
      <c r="F4" s="4">
        <f t="shared" ref="F4:F20" si="3">D4+E4</f>
        <v>33586.666666666672</v>
      </c>
    </row>
    <row r="5" spans="1:6" x14ac:dyDescent="0.25">
      <c r="A5" s="1" t="s">
        <v>22</v>
      </c>
      <c r="B5" s="11">
        <v>15</v>
      </c>
      <c r="C5" s="11">
        <f t="shared" si="1"/>
        <v>0</v>
      </c>
      <c r="D5" s="4">
        <f t="shared" si="2"/>
        <v>41983.333333333336</v>
      </c>
      <c r="E5" s="16">
        <f t="shared" si="0"/>
        <v>11195.555555555562</v>
      </c>
      <c r="F5" s="4">
        <f t="shared" si="3"/>
        <v>53178.888888888898</v>
      </c>
    </row>
    <row r="6" spans="1:6" x14ac:dyDescent="0.25">
      <c r="A6" s="1" t="s">
        <v>23</v>
      </c>
      <c r="B6" s="11">
        <v>13</v>
      </c>
      <c r="C6" s="11">
        <f t="shared" si="1"/>
        <v>2</v>
      </c>
      <c r="D6" s="4">
        <f t="shared" si="2"/>
        <v>36385.555555555562</v>
      </c>
      <c r="E6" s="16">
        <f t="shared" si="0"/>
        <v>0</v>
      </c>
      <c r="F6" s="4">
        <f t="shared" si="3"/>
        <v>36385.555555555562</v>
      </c>
    </row>
    <row r="7" spans="1:6" x14ac:dyDescent="0.25">
      <c r="A7" s="1" t="s">
        <v>24</v>
      </c>
      <c r="B7" s="11">
        <v>10</v>
      </c>
      <c r="C7" s="11">
        <f t="shared" si="1"/>
        <v>5</v>
      </c>
      <c r="D7" s="4">
        <f t="shared" si="2"/>
        <v>27988.888888888891</v>
      </c>
      <c r="E7" s="16">
        <f t="shared" si="0"/>
        <v>0</v>
      </c>
      <c r="F7" s="4">
        <f t="shared" si="3"/>
        <v>27988.888888888891</v>
      </c>
    </row>
    <row r="8" spans="1:6" x14ac:dyDescent="0.25">
      <c r="A8" s="1" t="s">
        <v>18</v>
      </c>
      <c r="B8" s="11">
        <v>15</v>
      </c>
      <c r="C8" s="11">
        <f t="shared" si="1"/>
        <v>0</v>
      </c>
      <c r="D8" s="4">
        <f t="shared" si="2"/>
        <v>41983.333333333336</v>
      </c>
      <c r="E8" s="16">
        <f t="shared" si="0"/>
        <v>11195.555555555562</v>
      </c>
      <c r="F8" s="4">
        <f t="shared" si="3"/>
        <v>53178.888888888898</v>
      </c>
    </row>
    <row r="9" spans="1:6" x14ac:dyDescent="0.25">
      <c r="A9" s="1" t="s">
        <v>21</v>
      </c>
      <c r="B9" s="11">
        <v>15</v>
      </c>
      <c r="C9" s="11">
        <f t="shared" si="1"/>
        <v>0</v>
      </c>
      <c r="D9" s="4">
        <f t="shared" si="2"/>
        <v>41983.333333333336</v>
      </c>
      <c r="E9" s="16">
        <f t="shared" si="0"/>
        <v>11195.555555555562</v>
      </c>
      <c r="F9" s="4">
        <f t="shared" si="3"/>
        <v>53178.888888888898</v>
      </c>
    </row>
    <row r="10" spans="1:6" x14ac:dyDescent="0.25">
      <c r="A10" s="1" t="s">
        <v>20</v>
      </c>
      <c r="B10" s="11">
        <v>15</v>
      </c>
      <c r="C10" s="11">
        <f t="shared" si="1"/>
        <v>0</v>
      </c>
      <c r="D10" s="4">
        <f t="shared" si="2"/>
        <v>41983.333333333336</v>
      </c>
      <c r="E10" s="16">
        <f t="shared" si="0"/>
        <v>11195.555555555562</v>
      </c>
      <c r="F10" s="4">
        <f t="shared" si="3"/>
        <v>53178.888888888898</v>
      </c>
    </row>
    <row r="11" spans="1:6" x14ac:dyDescent="0.25">
      <c r="A11" s="1" t="s">
        <v>16</v>
      </c>
      <c r="B11" s="11">
        <v>5</v>
      </c>
      <c r="C11" s="11">
        <f t="shared" si="1"/>
        <v>10</v>
      </c>
      <c r="D11" s="4">
        <f t="shared" si="2"/>
        <v>13994.444444444445</v>
      </c>
      <c r="E11" s="16">
        <f t="shared" si="0"/>
        <v>0</v>
      </c>
      <c r="F11" s="4">
        <f t="shared" si="3"/>
        <v>13994.444444444445</v>
      </c>
    </row>
    <row r="12" spans="1:6" x14ac:dyDescent="0.25">
      <c r="A12" s="1" t="s">
        <v>17</v>
      </c>
      <c r="B12" s="11">
        <v>14</v>
      </c>
      <c r="C12" s="11">
        <f t="shared" si="1"/>
        <v>1</v>
      </c>
      <c r="D12" s="4">
        <f t="shared" si="2"/>
        <v>39184.444444444445</v>
      </c>
      <c r="E12" s="16">
        <f t="shared" si="0"/>
        <v>0</v>
      </c>
      <c r="F12" s="4">
        <f t="shared" si="3"/>
        <v>39184.444444444445</v>
      </c>
    </row>
    <row r="13" spans="1:6" x14ac:dyDescent="0.25">
      <c r="A13" s="1" t="s">
        <v>19</v>
      </c>
      <c r="B13" s="11">
        <v>11</v>
      </c>
      <c r="C13" s="11">
        <f t="shared" si="1"/>
        <v>4</v>
      </c>
      <c r="D13" s="4">
        <f t="shared" si="2"/>
        <v>30787.777777777781</v>
      </c>
      <c r="E13" s="16">
        <f t="shared" si="0"/>
        <v>0</v>
      </c>
      <c r="F13" s="4">
        <f t="shared" si="3"/>
        <v>30787.777777777781</v>
      </c>
    </row>
    <row r="14" spans="1:6" x14ac:dyDescent="0.25">
      <c r="A14" s="1" t="s">
        <v>8</v>
      </c>
      <c r="B14" s="11">
        <v>15</v>
      </c>
      <c r="C14" s="11">
        <f t="shared" si="1"/>
        <v>0</v>
      </c>
      <c r="D14" s="4">
        <f t="shared" si="2"/>
        <v>41983.333333333336</v>
      </c>
      <c r="E14" s="16">
        <f t="shared" si="0"/>
        <v>11195.555555555562</v>
      </c>
      <c r="F14" s="4">
        <f t="shared" si="3"/>
        <v>53178.888888888898</v>
      </c>
    </row>
    <row r="15" spans="1:6" x14ac:dyDescent="0.25">
      <c r="A15" s="1" t="s">
        <v>5</v>
      </c>
      <c r="B15" s="11">
        <v>15</v>
      </c>
      <c r="C15" s="11">
        <f t="shared" si="1"/>
        <v>0</v>
      </c>
      <c r="D15" s="4">
        <f t="shared" si="2"/>
        <v>41983.333333333336</v>
      </c>
      <c r="E15" s="16">
        <f t="shared" si="0"/>
        <v>11195.555555555562</v>
      </c>
      <c r="F15" s="4">
        <f t="shared" si="3"/>
        <v>53178.888888888898</v>
      </c>
    </row>
    <row r="16" spans="1:6" x14ac:dyDescent="0.25">
      <c r="A16" s="1" t="s">
        <v>15</v>
      </c>
      <c r="B16" s="11">
        <v>13</v>
      </c>
      <c r="C16" s="11">
        <f t="shared" si="1"/>
        <v>2</v>
      </c>
      <c r="D16" s="4">
        <f t="shared" si="2"/>
        <v>36385.555555555562</v>
      </c>
      <c r="E16" s="16">
        <f t="shared" si="0"/>
        <v>0</v>
      </c>
      <c r="F16" s="4">
        <f t="shared" si="3"/>
        <v>36385.555555555562</v>
      </c>
    </row>
    <row r="17" spans="1:6" x14ac:dyDescent="0.25">
      <c r="A17" s="1" t="s">
        <v>9</v>
      </c>
      <c r="B17" s="11">
        <v>15</v>
      </c>
      <c r="C17" s="11">
        <f t="shared" si="1"/>
        <v>0</v>
      </c>
      <c r="D17" s="4">
        <f t="shared" si="2"/>
        <v>41983.333333333336</v>
      </c>
      <c r="E17" s="16">
        <f t="shared" si="0"/>
        <v>11195.555555555562</v>
      </c>
      <c r="F17" s="4">
        <f t="shared" si="3"/>
        <v>53178.888888888898</v>
      </c>
    </row>
    <row r="18" spans="1:6" x14ac:dyDescent="0.25">
      <c r="A18" s="7" t="s">
        <v>10</v>
      </c>
      <c r="B18" s="11">
        <v>13</v>
      </c>
      <c r="C18" s="11">
        <f t="shared" si="1"/>
        <v>2</v>
      </c>
      <c r="D18" s="4">
        <f t="shared" si="2"/>
        <v>36385.555555555562</v>
      </c>
      <c r="E18" s="16">
        <f t="shared" si="0"/>
        <v>0</v>
      </c>
      <c r="F18" s="4">
        <f t="shared" si="3"/>
        <v>36385.555555555562</v>
      </c>
    </row>
    <row r="19" spans="1:6" x14ac:dyDescent="0.25">
      <c r="A19" s="1" t="s">
        <v>12</v>
      </c>
      <c r="B19" s="11">
        <v>14</v>
      </c>
      <c r="C19" s="11">
        <f t="shared" si="1"/>
        <v>1</v>
      </c>
      <c r="D19" s="4">
        <f t="shared" si="2"/>
        <v>39184.444444444445</v>
      </c>
      <c r="E19" s="16">
        <f t="shared" si="0"/>
        <v>0</v>
      </c>
      <c r="F19" s="4">
        <f t="shared" si="3"/>
        <v>39184.444444444445</v>
      </c>
    </row>
    <row r="20" spans="1:6" x14ac:dyDescent="0.25">
      <c r="A20" s="1" t="s">
        <v>11</v>
      </c>
      <c r="B20" s="11">
        <v>13</v>
      </c>
      <c r="C20" s="11">
        <f t="shared" si="1"/>
        <v>2</v>
      </c>
      <c r="D20" s="4">
        <f t="shared" si="2"/>
        <v>36385.555555555562</v>
      </c>
      <c r="E20" s="16">
        <f t="shared" si="0"/>
        <v>0</v>
      </c>
      <c r="F20" s="4">
        <f t="shared" si="3"/>
        <v>36385.555555555562</v>
      </c>
    </row>
    <row r="21" spans="1:6" x14ac:dyDescent="0.25">
      <c r="D21" s="5"/>
    </row>
    <row r="22" spans="1:6" x14ac:dyDescent="0.25">
      <c r="A22" s="81" t="s">
        <v>31</v>
      </c>
      <c r="B22" s="82"/>
      <c r="C22" s="83"/>
      <c r="D22" s="14">
        <f>SUM(D3:D20)</f>
        <v>666135.5555555555</v>
      </c>
      <c r="E22" s="17">
        <f>SUM(E3:E20)</f>
        <v>89564.444444444496</v>
      </c>
      <c r="F22" s="17">
        <f>SUM(F3:F20)</f>
        <v>755700</v>
      </c>
    </row>
    <row r="26" spans="1:6" x14ac:dyDescent="0.25">
      <c r="A26" s="85" t="s">
        <v>14</v>
      </c>
      <c r="B26" s="86"/>
      <c r="C26" s="11">
        <v>18</v>
      </c>
    </row>
    <row r="27" spans="1:6" x14ac:dyDescent="0.25">
      <c r="A27" s="85" t="s">
        <v>4</v>
      </c>
      <c r="B27" s="86"/>
      <c r="C27" s="19">
        <v>755700</v>
      </c>
      <c r="F27" s="20">
        <f>C27-F22</f>
        <v>0</v>
      </c>
    </row>
    <row r="28" spans="1:6" x14ac:dyDescent="0.25">
      <c r="A28" s="85" t="s">
        <v>2</v>
      </c>
      <c r="B28" s="86"/>
      <c r="C28" s="10">
        <f>C27/C26</f>
        <v>41983.333333333336</v>
      </c>
    </row>
    <row r="29" spans="1:6" x14ac:dyDescent="0.25">
      <c r="A29" s="85" t="s">
        <v>3</v>
      </c>
      <c r="B29" s="86"/>
      <c r="C29" s="9">
        <f>C28/15</f>
        <v>2798.8888888888891</v>
      </c>
    </row>
    <row r="30" spans="1:6" x14ac:dyDescent="0.25">
      <c r="A30" s="85" t="s">
        <v>25</v>
      </c>
      <c r="B30" s="86"/>
      <c r="C30" s="18">
        <f>C27-D22</f>
        <v>89564.444444444496</v>
      </c>
      <c r="E30" s="20">
        <f>C30-E22</f>
        <v>0</v>
      </c>
    </row>
    <row r="31" spans="1:6" x14ac:dyDescent="0.25">
      <c r="A31" s="87"/>
      <c r="B31" s="87"/>
      <c r="C31" s="87"/>
    </row>
    <row r="32" spans="1:6" x14ac:dyDescent="0.25">
      <c r="A32" s="80" t="s">
        <v>26</v>
      </c>
      <c r="B32" s="80"/>
      <c r="C32" s="13">
        <f>COUNTIF(B3:B20,15)</f>
        <v>8</v>
      </c>
      <c r="E32" s="3"/>
    </row>
    <row r="33" spans="1:3" x14ac:dyDescent="0.25">
      <c r="A33" s="80" t="s">
        <v>30</v>
      </c>
      <c r="B33" s="80"/>
      <c r="C33" s="4">
        <f>C30/C32</f>
        <v>11195.555555555562</v>
      </c>
    </row>
  </sheetData>
  <mergeCells count="10">
    <mergeCell ref="A30:B30"/>
    <mergeCell ref="A31:C31"/>
    <mergeCell ref="A32:B32"/>
    <mergeCell ref="A33:B33"/>
    <mergeCell ref="A1:F1"/>
    <mergeCell ref="A22:C22"/>
    <mergeCell ref="A26:B26"/>
    <mergeCell ref="A27:B27"/>
    <mergeCell ref="A28:B28"/>
    <mergeCell ref="A29:B29"/>
  </mergeCells>
  <conditionalFormatting sqref="E3:E20">
    <cfRule type="containsText" dxfId="39" priority="2" operator="containsText" text="0">
      <formula>NOT(ISERROR(SEARCH("0",E3)))</formula>
    </cfRule>
  </conditionalFormatting>
  <conditionalFormatting sqref="C3:C20">
    <cfRule type="cellIs" dxfId="38" priority="1" operator="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A14" sqref="A14"/>
    </sheetView>
  </sheetViews>
  <sheetFormatPr defaultRowHeight="15" x14ac:dyDescent="0.25"/>
  <cols>
    <col min="1" max="1" width="21.7109375" bestFit="1" customWidth="1"/>
    <col min="2" max="2" width="17.42578125" bestFit="1" customWidth="1"/>
    <col min="3" max="3" width="15.5703125" bestFit="1" customWidth="1"/>
    <col min="4" max="4" width="15.42578125" bestFit="1" customWidth="1"/>
    <col min="5" max="5" width="13.5703125" bestFit="1" customWidth="1"/>
    <col min="6" max="6" width="14.42578125" bestFit="1" customWidth="1"/>
    <col min="7" max="7" width="13.7109375" bestFit="1" customWidth="1"/>
    <col min="8" max="9" width="12.5703125" bestFit="1" customWidth="1"/>
    <col min="11" max="11" width="18.85546875" customWidth="1"/>
    <col min="14" max="14" width="12.5703125" bestFit="1" customWidth="1"/>
  </cols>
  <sheetData>
    <row r="1" spans="1:9" x14ac:dyDescent="0.25">
      <c r="A1" s="98" t="s">
        <v>52</v>
      </c>
      <c r="B1" s="98"/>
      <c r="C1" s="98"/>
      <c r="D1" s="98"/>
      <c r="E1" s="98"/>
      <c r="F1" s="98"/>
    </row>
    <row r="2" spans="1:9" x14ac:dyDescent="0.25">
      <c r="A2" s="73" t="s">
        <v>29</v>
      </c>
      <c r="B2" s="73" t="s">
        <v>0</v>
      </c>
      <c r="C2" s="73" t="s">
        <v>1</v>
      </c>
      <c r="D2" s="73" t="s">
        <v>13</v>
      </c>
      <c r="E2" s="73" t="s">
        <v>27</v>
      </c>
      <c r="F2" s="73" t="s">
        <v>28</v>
      </c>
    </row>
    <row r="3" spans="1:9" x14ac:dyDescent="0.25">
      <c r="A3" s="55" t="s">
        <v>58</v>
      </c>
      <c r="B3" s="72">
        <v>16</v>
      </c>
      <c r="C3" s="30">
        <f>16-B3</f>
        <v>0</v>
      </c>
      <c r="D3" s="36">
        <f>B3*C21</f>
        <v>44850</v>
      </c>
      <c r="E3" s="4">
        <f>IF(B3=16,(C$25),0)</f>
        <v>20182.5</v>
      </c>
      <c r="F3" s="4">
        <f>E3+D3</f>
        <v>65032.5</v>
      </c>
    </row>
    <row r="4" spans="1:9" x14ac:dyDescent="0.25">
      <c r="A4" s="55" t="s">
        <v>5</v>
      </c>
      <c r="B4" s="72">
        <v>4</v>
      </c>
      <c r="C4" s="30">
        <f t="shared" ref="C4:C15" si="0">16-B4</f>
        <v>12</v>
      </c>
      <c r="D4" s="36">
        <f>B4*C21</f>
        <v>11212.5</v>
      </c>
      <c r="E4" s="4">
        <f t="shared" ref="E4:E15" si="1">IF(B4=16,(C$25),0)</f>
        <v>0</v>
      </c>
      <c r="F4" s="4">
        <f t="shared" ref="F4:F14" si="2">E4+D4</f>
        <v>11212.5</v>
      </c>
    </row>
    <row r="5" spans="1:9" x14ac:dyDescent="0.25">
      <c r="A5" s="55" t="s">
        <v>50</v>
      </c>
      <c r="B5" s="72">
        <v>15</v>
      </c>
      <c r="C5" s="30">
        <f t="shared" si="0"/>
        <v>1</v>
      </c>
      <c r="D5" s="36">
        <f>B5*C21</f>
        <v>42046.875</v>
      </c>
      <c r="E5" s="4">
        <f t="shared" si="1"/>
        <v>0</v>
      </c>
      <c r="F5" s="4">
        <f t="shared" si="2"/>
        <v>42046.875</v>
      </c>
      <c r="I5" s="3"/>
    </row>
    <row r="6" spans="1:9" x14ac:dyDescent="0.25">
      <c r="A6" s="55" t="s">
        <v>36</v>
      </c>
      <c r="B6" s="72">
        <v>15</v>
      </c>
      <c r="C6" s="30">
        <f t="shared" si="0"/>
        <v>1</v>
      </c>
      <c r="D6" s="36">
        <f>B6*C21</f>
        <v>42046.875</v>
      </c>
      <c r="E6" s="4">
        <f t="shared" si="1"/>
        <v>0</v>
      </c>
      <c r="F6" s="4">
        <f t="shared" si="2"/>
        <v>42046.875</v>
      </c>
    </row>
    <row r="7" spans="1:9" x14ac:dyDescent="0.25">
      <c r="A7" s="55" t="s">
        <v>49</v>
      </c>
      <c r="B7" s="72">
        <v>15</v>
      </c>
      <c r="C7" s="30">
        <f t="shared" si="0"/>
        <v>1</v>
      </c>
      <c r="D7" s="36">
        <f>B7*C21</f>
        <v>42046.875</v>
      </c>
      <c r="E7" s="4">
        <f t="shared" si="1"/>
        <v>0</v>
      </c>
      <c r="F7" s="4">
        <f t="shared" si="2"/>
        <v>42046.875</v>
      </c>
    </row>
    <row r="8" spans="1:9" x14ac:dyDescent="0.25">
      <c r="A8" s="55" t="s">
        <v>7</v>
      </c>
      <c r="B8" s="64">
        <v>5</v>
      </c>
      <c r="C8" s="30">
        <f t="shared" si="0"/>
        <v>11</v>
      </c>
      <c r="D8" s="65">
        <f>B8*C21</f>
        <v>14015.625</v>
      </c>
      <c r="E8" s="4">
        <f t="shared" si="1"/>
        <v>0</v>
      </c>
      <c r="F8" s="4">
        <f t="shared" si="2"/>
        <v>14015.625</v>
      </c>
    </row>
    <row r="9" spans="1:9" x14ac:dyDescent="0.25">
      <c r="A9" s="49" t="s">
        <v>16</v>
      </c>
      <c r="B9" s="50">
        <v>0</v>
      </c>
      <c r="C9" s="30">
        <f t="shared" si="0"/>
        <v>16</v>
      </c>
      <c r="D9" s="51">
        <f t="shared" ref="D9" si="3">B9*C27</f>
        <v>0</v>
      </c>
      <c r="E9" s="4">
        <f t="shared" si="1"/>
        <v>0</v>
      </c>
      <c r="F9" s="4">
        <f t="shared" si="2"/>
        <v>0</v>
      </c>
    </row>
    <row r="10" spans="1:9" x14ac:dyDescent="0.25">
      <c r="A10" s="55" t="s">
        <v>44</v>
      </c>
      <c r="B10" s="72">
        <v>16</v>
      </c>
      <c r="C10" s="30">
        <f t="shared" si="0"/>
        <v>0</v>
      </c>
      <c r="D10" s="36">
        <f>B10*C21</f>
        <v>44850</v>
      </c>
      <c r="E10" s="4">
        <f t="shared" si="1"/>
        <v>20182.5</v>
      </c>
      <c r="F10" s="4">
        <f t="shared" si="2"/>
        <v>65032.5</v>
      </c>
    </row>
    <row r="11" spans="1:9" x14ac:dyDescent="0.25">
      <c r="A11" s="55" t="s">
        <v>43</v>
      </c>
      <c r="B11" s="74">
        <v>16</v>
      </c>
      <c r="C11" s="30">
        <f t="shared" si="0"/>
        <v>0</v>
      </c>
      <c r="D11" s="36">
        <f>B11*C21</f>
        <v>44850</v>
      </c>
      <c r="E11" s="4">
        <f t="shared" si="1"/>
        <v>20182.5</v>
      </c>
      <c r="F11" s="4">
        <f t="shared" si="2"/>
        <v>65032.5</v>
      </c>
    </row>
    <row r="12" spans="1:9" x14ac:dyDescent="0.25">
      <c r="A12" s="55" t="s">
        <v>46</v>
      </c>
      <c r="B12" s="74">
        <v>16</v>
      </c>
      <c r="C12" s="30">
        <f t="shared" si="0"/>
        <v>0</v>
      </c>
      <c r="D12" s="36">
        <f>B12*C21</f>
        <v>44850</v>
      </c>
      <c r="E12" s="4">
        <f t="shared" si="1"/>
        <v>20182.5</v>
      </c>
      <c r="F12" s="4">
        <f t="shared" si="2"/>
        <v>65032.5</v>
      </c>
    </row>
    <row r="13" spans="1:9" x14ac:dyDescent="0.25">
      <c r="A13" s="55" t="s">
        <v>35</v>
      </c>
      <c r="B13" s="72">
        <v>10</v>
      </c>
      <c r="C13" s="30">
        <f t="shared" si="0"/>
        <v>6</v>
      </c>
      <c r="D13" s="36">
        <f>B13*C21</f>
        <v>28031.25</v>
      </c>
      <c r="E13" s="4">
        <f t="shared" si="1"/>
        <v>0</v>
      </c>
      <c r="F13" s="4">
        <f t="shared" si="2"/>
        <v>28031.25</v>
      </c>
    </row>
    <row r="14" spans="1:9" x14ac:dyDescent="0.25">
      <c r="A14" s="55" t="s">
        <v>57</v>
      </c>
      <c r="B14" s="74">
        <v>12</v>
      </c>
      <c r="C14" s="30">
        <f t="shared" si="0"/>
        <v>4</v>
      </c>
      <c r="D14" s="36">
        <f>B14*C21</f>
        <v>33637.5</v>
      </c>
      <c r="E14" s="4">
        <f t="shared" si="1"/>
        <v>0</v>
      </c>
      <c r="F14" s="4">
        <f t="shared" si="2"/>
        <v>33637.5</v>
      </c>
    </row>
    <row r="15" spans="1:9" x14ac:dyDescent="0.25">
      <c r="A15" s="55" t="s">
        <v>51</v>
      </c>
      <c r="B15" s="74">
        <v>16</v>
      </c>
      <c r="C15" s="30">
        <f t="shared" si="0"/>
        <v>0</v>
      </c>
      <c r="D15" s="36">
        <f>B15*C21</f>
        <v>44850</v>
      </c>
      <c r="E15" s="4">
        <f t="shared" si="1"/>
        <v>20182.5</v>
      </c>
      <c r="F15" s="4">
        <f>E15+D15</f>
        <v>65032.5</v>
      </c>
    </row>
    <row r="16" spans="1:9" x14ac:dyDescent="0.25">
      <c r="A16" s="92" t="s">
        <v>31</v>
      </c>
      <c r="B16" s="93"/>
      <c r="C16" s="94"/>
      <c r="D16" s="36">
        <f>D3+D4+D5+D6+D7+D8+D9+D10+D11+D12+D13+D14+D15</f>
        <v>437287.5</v>
      </c>
      <c r="E16" s="4">
        <f t="shared" ref="E16" si="4">IF(B16=16,(C$25),0)</f>
        <v>0</v>
      </c>
      <c r="F16" s="14">
        <f>SUM(F3:F15)</f>
        <v>538200</v>
      </c>
      <c r="G16" s="57"/>
      <c r="H16" s="3"/>
    </row>
    <row r="17" spans="1:14" x14ac:dyDescent="0.25">
      <c r="I17" s="3"/>
    </row>
    <row r="18" spans="1:14" x14ac:dyDescent="0.25">
      <c r="A18" s="99" t="s">
        <v>14</v>
      </c>
      <c r="B18" s="100"/>
      <c r="C18" s="56">
        <v>12</v>
      </c>
    </row>
    <row r="19" spans="1:14" x14ac:dyDescent="0.25">
      <c r="A19" s="85" t="s">
        <v>4</v>
      </c>
      <c r="B19" s="86"/>
      <c r="C19" s="19">
        <v>538200</v>
      </c>
      <c r="G19" s="3"/>
      <c r="H19" s="3"/>
    </row>
    <row r="20" spans="1:14" x14ac:dyDescent="0.25">
      <c r="A20" s="85" t="s">
        <v>2</v>
      </c>
      <c r="B20" s="86"/>
      <c r="C20" s="10">
        <f>C19/C18</f>
        <v>44850</v>
      </c>
    </row>
    <row r="21" spans="1:14" x14ac:dyDescent="0.25">
      <c r="A21" s="85" t="s">
        <v>3</v>
      </c>
      <c r="B21" s="86"/>
      <c r="C21" s="9">
        <f>C20/16</f>
        <v>2803.125</v>
      </c>
      <c r="G21" s="3"/>
    </row>
    <row r="22" spans="1:14" x14ac:dyDescent="0.25">
      <c r="A22" s="85" t="s">
        <v>25</v>
      </c>
      <c r="B22" s="86"/>
      <c r="C22" s="18">
        <f>C19-D16</f>
        <v>100912.5</v>
      </c>
    </row>
    <row r="23" spans="1:14" x14ac:dyDescent="0.25">
      <c r="A23" s="87"/>
      <c r="B23" s="87"/>
      <c r="C23" s="87"/>
    </row>
    <row r="24" spans="1:14" x14ac:dyDescent="0.25">
      <c r="A24" s="80" t="s">
        <v>26</v>
      </c>
      <c r="B24" s="80"/>
      <c r="C24" s="13">
        <v>5</v>
      </c>
    </row>
    <row r="25" spans="1:14" x14ac:dyDescent="0.25">
      <c r="A25" s="80" t="s">
        <v>30</v>
      </c>
      <c r="B25" s="80"/>
      <c r="C25" s="36">
        <f>C22/C24</f>
        <v>20182.5</v>
      </c>
    </row>
    <row r="29" spans="1:14" x14ac:dyDescent="0.25">
      <c r="N29" s="3"/>
    </row>
  </sheetData>
  <mergeCells count="10">
    <mergeCell ref="A22:B22"/>
    <mergeCell ref="A23:C23"/>
    <mergeCell ref="A24:B24"/>
    <mergeCell ref="A25:B25"/>
    <mergeCell ref="A1:F1"/>
    <mergeCell ref="A16:C16"/>
    <mergeCell ref="A18:B18"/>
    <mergeCell ref="A19:B19"/>
    <mergeCell ref="A20:B20"/>
    <mergeCell ref="A21:B21"/>
  </mergeCells>
  <conditionalFormatting sqref="C3:C15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F3" sqref="F3"/>
    </sheetView>
  </sheetViews>
  <sheetFormatPr defaultRowHeight="15" x14ac:dyDescent="0.25"/>
  <cols>
    <col min="1" max="1" width="21.7109375" bestFit="1" customWidth="1"/>
    <col min="2" max="2" width="17.42578125" bestFit="1" customWidth="1"/>
    <col min="3" max="3" width="15.5703125" bestFit="1" customWidth="1"/>
    <col min="4" max="4" width="15.42578125" bestFit="1" customWidth="1"/>
    <col min="5" max="5" width="13.5703125" bestFit="1" customWidth="1"/>
    <col min="6" max="6" width="14.42578125" bestFit="1" customWidth="1"/>
    <col min="7" max="7" width="13.7109375" bestFit="1" customWidth="1"/>
    <col min="8" max="9" width="12.5703125" bestFit="1" customWidth="1"/>
    <col min="11" max="11" width="18.85546875" customWidth="1"/>
    <col min="14" max="14" width="12.5703125" bestFit="1" customWidth="1"/>
  </cols>
  <sheetData>
    <row r="1" spans="1:9" x14ac:dyDescent="0.25">
      <c r="A1" s="98" t="s">
        <v>52</v>
      </c>
      <c r="B1" s="98"/>
      <c r="C1" s="98"/>
      <c r="D1" s="98"/>
      <c r="E1" s="98"/>
      <c r="F1" s="98"/>
    </row>
    <row r="2" spans="1:9" x14ac:dyDescent="0.25">
      <c r="A2" s="78" t="s">
        <v>29</v>
      </c>
      <c r="B2" s="78" t="s">
        <v>0</v>
      </c>
      <c r="C2" s="78" t="s">
        <v>1</v>
      </c>
      <c r="D2" s="78" t="s">
        <v>13</v>
      </c>
      <c r="E2" s="78" t="s">
        <v>27</v>
      </c>
      <c r="F2" s="78" t="s">
        <v>28</v>
      </c>
    </row>
    <row r="3" spans="1:9" x14ac:dyDescent="0.25">
      <c r="A3" s="55" t="s">
        <v>58</v>
      </c>
      <c r="B3" s="77">
        <v>16</v>
      </c>
      <c r="C3" s="30">
        <f>16-B3</f>
        <v>0</v>
      </c>
      <c r="D3" s="4">
        <f>B3*C21</f>
        <v>34583.333333333336</v>
      </c>
      <c r="E3" s="4">
        <f>IF(B3=16,(C$25),0)</f>
        <v>6004.0509259259306</v>
      </c>
      <c r="F3" s="4">
        <f>D3+E3</f>
        <v>40587.38425925927</v>
      </c>
      <c r="H3">
        <v>4700</v>
      </c>
      <c r="I3" s="5">
        <f>+F3+H3</f>
        <v>45287.38425925927</v>
      </c>
    </row>
    <row r="4" spans="1:9" x14ac:dyDescent="0.25">
      <c r="A4" s="55" t="s">
        <v>5</v>
      </c>
      <c r="B4" s="77">
        <v>16</v>
      </c>
      <c r="C4" s="30">
        <f t="shared" ref="C4:C15" si="0">16-B4</f>
        <v>0</v>
      </c>
      <c r="D4" s="36">
        <f>B4*C21</f>
        <v>34583.333333333336</v>
      </c>
      <c r="E4" s="4">
        <f t="shared" ref="E4:E15" si="1">IF(B4=16,(C$25),0)</f>
        <v>6004.0509259259306</v>
      </c>
      <c r="F4" s="4">
        <f t="shared" ref="F4:F15" si="2">D4+E4</f>
        <v>40587.38425925927</v>
      </c>
      <c r="H4">
        <v>-1813</v>
      </c>
      <c r="I4" s="5">
        <f t="shared" ref="I4:I15" si="3">+F4+H4</f>
        <v>38774.38425925927</v>
      </c>
    </row>
    <row r="5" spans="1:9" x14ac:dyDescent="0.25">
      <c r="A5" s="55" t="s">
        <v>50</v>
      </c>
      <c r="B5" s="77">
        <v>16</v>
      </c>
      <c r="C5" s="30">
        <f t="shared" si="0"/>
        <v>0</v>
      </c>
      <c r="D5" s="36">
        <f>B5*C21</f>
        <v>34583.333333333336</v>
      </c>
      <c r="E5" s="4">
        <f t="shared" si="1"/>
        <v>6004.0509259259306</v>
      </c>
      <c r="F5" s="4">
        <f t="shared" si="2"/>
        <v>40587.38425925927</v>
      </c>
      <c r="H5">
        <v>-6647</v>
      </c>
      <c r="I5" s="5">
        <f t="shared" si="3"/>
        <v>33940.38425925927</v>
      </c>
    </row>
    <row r="6" spans="1:9" x14ac:dyDescent="0.25">
      <c r="A6" s="55" t="s">
        <v>36</v>
      </c>
      <c r="B6" s="77">
        <v>16</v>
      </c>
      <c r="C6" s="30">
        <f t="shared" si="0"/>
        <v>0</v>
      </c>
      <c r="D6" s="36">
        <f>B6*C21</f>
        <v>34583.333333333336</v>
      </c>
      <c r="E6" s="4">
        <f t="shared" si="1"/>
        <v>6004.0509259259306</v>
      </c>
      <c r="F6" s="4">
        <f t="shared" si="2"/>
        <v>40587.38425925927</v>
      </c>
      <c r="H6">
        <v>-6647</v>
      </c>
      <c r="I6" s="5">
        <f t="shared" si="3"/>
        <v>33940.38425925927</v>
      </c>
    </row>
    <row r="7" spans="1:9" x14ac:dyDescent="0.25">
      <c r="A7" s="55" t="s">
        <v>49</v>
      </c>
      <c r="B7" s="77">
        <v>16</v>
      </c>
      <c r="C7" s="30">
        <f t="shared" si="0"/>
        <v>0</v>
      </c>
      <c r="D7" s="36">
        <f>B7*C21</f>
        <v>34583.333333333336</v>
      </c>
      <c r="E7" s="4">
        <f t="shared" si="1"/>
        <v>6004.0509259259306</v>
      </c>
      <c r="F7" s="75">
        <f t="shared" si="2"/>
        <v>40587.38425925927</v>
      </c>
      <c r="H7">
        <v>-6647</v>
      </c>
      <c r="I7" s="5">
        <f t="shared" si="3"/>
        <v>33940.38425925927</v>
      </c>
    </row>
    <row r="8" spans="1:9" x14ac:dyDescent="0.25">
      <c r="A8" s="55" t="s">
        <v>7</v>
      </c>
      <c r="B8" s="64">
        <v>15</v>
      </c>
      <c r="C8" s="30">
        <f t="shared" si="0"/>
        <v>1</v>
      </c>
      <c r="D8" s="36">
        <f>B8*C21</f>
        <v>32421.875000000004</v>
      </c>
      <c r="E8" s="4">
        <f t="shared" si="1"/>
        <v>0</v>
      </c>
      <c r="F8" s="76">
        <f t="shared" si="2"/>
        <v>32421.875000000004</v>
      </c>
      <c r="H8">
        <v>-2216</v>
      </c>
      <c r="I8" s="5">
        <f t="shared" si="3"/>
        <v>30205.875000000004</v>
      </c>
    </row>
    <row r="9" spans="1:9" x14ac:dyDescent="0.25">
      <c r="A9" s="55" t="s">
        <v>16</v>
      </c>
      <c r="B9" s="64">
        <v>8</v>
      </c>
      <c r="C9" s="30">
        <f t="shared" si="0"/>
        <v>8</v>
      </c>
      <c r="D9" s="36">
        <f>B9*C21</f>
        <v>17291.666666666668</v>
      </c>
      <c r="E9" s="4">
        <f t="shared" si="1"/>
        <v>0</v>
      </c>
      <c r="F9" s="76">
        <f t="shared" si="2"/>
        <v>17291.666666666668</v>
      </c>
      <c r="H9">
        <v>0</v>
      </c>
      <c r="I9" s="5">
        <f t="shared" si="3"/>
        <v>17291.666666666668</v>
      </c>
    </row>
    <row r="10" spans="1:9" x14ac:dyDescent="0.25">
      <c r="A10" s="55" t="s">
        <v>44</v>
      </c>
      <c r="B10" s="77">
        <v>16</v>
      </c>
      <c r="C10" s="30">
        <f t="shared" si="0"/>
        <v>0</v>
      </c>
      <c r="D10" s="36">
        <f>B10*C21</f>
        <v>34583.333333333336</v>
      </c>
      <c r="E10" s="4">
        <f t="shared" si="1"/>
        <v>6004.0509259259306</v>
      </c>
      <c r="F10" s="4">
        <f t="shared" si="2"/>
        <v>40587.38425925927</v>
      </c>
      <c r="H10">
        <v>4700</v>
      </c>
      <c r="I10" s="5">
        <f t="shared" si="3"/>
        <v>45287.38425925927</v>
      </c>
    </row>
    <row r="11" spans="1:9" x14ac:dyDescent="0.25">
      <c r="A11" s="55" t="s">
        <v>43</v>
      </c>
      <c r="B11" s="77">
        <v>16</v>
      </c>
      <c r="C11" s="30">
        <f t="shared" si="0"/>
        <v>0</v>
      </c>
      <c r="D11" s="36">
        <f>B11*C21</f>
        <v>34583.333333333336</v>
      </c>
      <c r="E11" s="4">
        <f t="shared" si="1"/>
        <v>6004.0509259259306</v>
      </c>
      <c r="F11" s="4">
        <f t="shared" si="2"/>
        <v>40587.38425925927</v>
      </c>
      <c r="H11">
        <v>4700</v>
      </c>
      <c r="I11" s="5">
        <f t="shared" si="3"/>
        <v>45287.38425925927</v>
      </c>
    </row>
    <row r="12" spans="1:9" x14ac:dyDescent="0.25">
      <c r="A12" s="55" t="s">
        <v>46</v>
      </c>
      <c r="B12" s="77">
        <v>16</v>
      </c>
      <c r="C12" s="30">
        <f t="shared" si="0"/>
        <v>0</v>
      </c>
      <c r="D12" s="36">
        <f>B12*C21</f>
        <v>34583.333333333336</v>
      </c>
      <c r="E12" s="4">
        <f t="shared" si="1"/>
        <v>6004.0509259259306</v>
      </c>
      <c r="F12" s="4">
        <f t="shared" si="2"/>
        <v>40587.38425925927</v>
      </c>
      <c r="H12">
        <v>4700</v>
      </c>
      <c r="I12" s="5">
        <f t="shared" si="3"/>
        <v>45287.38425925927</v>
      </c>
    </row>
    <row r="13" spans="1:9" x14ac:dyDescent="0.25">
      <c r="A13" s="49" t="s">
        <v>35</v>
      </c>
      <c r="B13" s="50">
        <v>0</v>
      </c>
      <c r="C13" s="30">
        <f t="shared" si="0"/>
        <v>16</v>
      </c>
      <c r="D13" s="36">
        <f>B13*C21</f>
        <v>0</v>
      </c>
      <c r="E13" s="4">
        <f t="shared" si="1"/>
        <v>0</v>
      </c>
      <c r="F13" s="79">
        <f t="shared" si="2"/>
        <v>0</v>
      </c>
      <c r="H13">
        <v>-4431</v>
      </c>
      <c r="I13" s="5">
        <f t="shared" si="3"/>
        <v>-4431</v>
      </c>
    </row>
    <row r="14" spans="1:9" x14ac:dyDescent="0.25">
      <c r="A14" s="55" t="s">
        <v>57</v>
      </c>
      <c r="B14" s="77">
        <v>0</v>
      </c>
      <c r="C14" s="30">
        <f t="shared" si="0"/>
        <v>16</v>
      </c>
      <c r="D14" s="36">
        <f>B14*C21</f>
        <v>0</v>
      </c>
      <c r="E14" s="4">
        <f t="shared" si="1"/>
        <v>0</v>
      </c>
      <c r="F14" s="4">
        <f>D14+E14</f>
        <v>0</v>
      </c>
      <c r="H14">
        <v>4700</v>
      </c>
      <c r="I14" s="5">
        <f t="shared" si="3"/>
        <v>4700</v>
      </c>
    </row>
    <row r="15" spans="1:9" x14ac:dyDescent="0.25">
      <c r="A15" s="55" t="s">
        <v>51</v>
      </c>
      <c r="B15" s="77">
        <v>16</v>
      </c>
      <c r="C15" s="30">
        <f t="shared" si="0"/>
        <v>0</v>
      </c>
      <c r="D15" s="36">
        <f>B15*C21</f>
        <v>34583.333333333336</v>
      </c>
      <c r="E15" s="4">
        <f t="shared" si="1"/>
        <v>6004.0509259259306</v>
      </c>
      <c r="F15" s="4">
        <f t="shared" si="2"/>
        <v>40587.38425925927</v>
      </c>
      <c r="H15">
        <v>4700</v>
      </c>
      <c r="I15" s="5">
        <f t="shared" si="3"/>
        <v>45287.38425925927</v>
      </c>
    </row>
    <row r="16" spans="1:9" x14ac:dyDescent="0.25">
      <c r="A16" s="92" t="s">
        <v>31</v>
      </c>
      <c r="B16" s="93"/>
      <c r="C16" s="94"/>
      <c r="D16" s="36">
        <f>D3+D4+D5+D6+D7+D8+D9+D10+D11+D12+D13+D14+D15</f>
        <v>360963.54166666663</v>
      </c>
      <c r="E16" s="4">
        <f t="shared" ref="E16" si="4">IF(B16=16,(C$25),0)</f>
        <v>0</v>
      </c>
      <c r="F16" s="14">
        <f>SUM(F3:F15)</f>
        <v>415000.00000000006</v>
      </c>
      <c r="G16" s="57"/>
      <c r="H16" s="3"/>
    </row>
    <row r="17" spans="1:14" x14ac:dyDescent="0.25">
      <c r="I17" s="3"/>
    </row>
    <row r="18" spans="1:14" x14ac:dyDescent="0.25">
      <c r="A18" s="99" t="s">
        <v>14</v>
      </c>
      <c r="B18" s="100"/>
      <c r="C18" s="56">
        <v>12</v>
      </c>
      <c r="K18" s="36"/>
    </row>
    <row r="19" spans="1:14" x14ac:dyDescent="0.25">
      <c r="A19" s="85" t="s">
        <v>4</v>
      </c>
      <c r="B19" s="86"/>
      <c r="C19" s="19">
        <v>415000</v>
      </c>
      <c r="G19" s="3"/>
      <c r="H19" s="3"/>
    </row>
    <row r="20" spans="1:14" x14ac:dyDescent="0.25">
      <c r="A20" s="85" t="s">
        <v>2</v>
      </c>
      <c r="B20" s="86"/>
      <c r="C20" s="10">
        <f>C19/C18</f>
        <v>34583.333333333336</v>
      </c>
    </row>
    <row r="21" spans="1:14" x14ac:dyDescent="0.25">
      <c r="A21" s="85" t="s">
        <v>3</v>
      </c>
      <c r="B21" s="86"/>
      <c r="C21" s="9">
        <f>C20/16</f>
        <v>2161.4583333333335</v>
      </c>
      <c r="G21" s="3"/>
    </row>
    <row r="22" spans="1:14" x14ac:dyDescent="0.25">
      <c r="A22" s="85" t="s">
        <v>25</v>
      </c>
      <c r="B22" s="86"/>
      <c r="C22" s="18">
        <f>C19-D16</f>
        <v>54036.458333333372</v>
      </c>
    </row>
    <row r="23" spans="1:14" x14ac:dyDescent="0.25">
      <c r="A23" s="87"/>
      <c r="B23" s="87"/>
      <c r="C23" s="87"/>
    </row>
    <row r="24" spans="1:14" x14ac:dyDescent="0.25">
      <c r="A24" s="80" t="s">
        <v>26</v>
      </c>
      <c r="B24" s="80"/>
      <c r="C24" s="13">
        <v>9</v>
      </c>
    </row>
    <row r="25" spans="1:14" x14ac:dyDescent="0.25">
      <c r="A25" s="80" t="s">
        <v>30</v>
      </c>
      <c r="B25" s="80"/>
      <c r="C25" s="36">
        <f>C22/C24</f>
        <v>6004.0509259259306</v>
      </c>
    </row>
    <row r="29" spans="1:14" x14ac:dyDescent="0.25">
      <c r="N29" s="3"/>
    </row>
  </sheetData>
  <mergeCells count="10">
    <mergeCell ref="A22:B22"/>
    <mergeCell ref="A23:C23"/>
    <mergeCell ref="A24:B24"/>
    <mergeCell ref="A25:B25"/>
    <mergeCell ref="A1:F1"/>
    <mergeCell ref="A16:C16"/>
    <mergeCell ref="A18:B18"/>
    <mergeCell ref="A19:B19"/>
    <mergeCell ref="A20:B20"/>
    <mergeCell ref="A21:B21"/>
  </mergeCells>
  <conditionalFormatting sqref="C3:C1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J16" sqref="J16"/>
    </sheetView>
  </sheetViews>
  <sheetFormatPr defaultRowHeight="15" x14ac:dyDescent="0.25"/>
  <cols>
    <col min="1" max="1" width="21.5703125" bestFit="1" customWidth="1"/>
    <col min="2" max="2" width="17.42578125" bestFit="1" customWidth="1"/>
    <col min="3" max="3" width="15.5703125" bestFit="1" customWidth="1"/>
    <col min="4" max="4" width="15.42578125" bestFit="1" customWidth="1"/>
    <col min="5" max="5" width="13.5703125" bestFit="1" customWidth="1"/>
    <col min="6" max="6" width="14.42578125" bestFit="1" customWidth="1"/>
  </cols>
  <sheetData>
    <row r="1" spans="1:6" x14ac:dyDescent="0.25">
      <c r="A1" s="84" t="s">
        <v>32</v>
      </c>
      <c r="B1" s="84"/>
      <c r="C1" s="84"/>
      <c r="D1" s="84"/>
      <c r="E1" s="84"/>
      <c r="F1" s="84"/>
    </row>
    <row r="2" spans="1:6" x14ac:dyDescent="0.25">
      <c r="A2" s="21" t="s">
        <v>29</v>
      </c>
      <c r="B2" s="21" t="s">
        <v>0</v>
      </c>
      <c r="C2" s="23" t="s">
        <v>1</v>
      </c>
      <c r="D2" s="21" t="s">
        <v>13</v>
      </c>
      <c r="E2" s="12" t="s">
        <v>27</v>
      </c>
      <c r="F2" s="12" t="s">
        <v>28</v>
      </c>
    </row>
    <row r="3" spans="1:6" x14ac:dyDescent="0.25">
      <c r="A3" s="1" t="s">
        <v>6</v>
      </c>
      <c r="B3" s="11">
        <v>15</v>
      </c>
      <c r="C3" s="24">
        <f>15-B3</f>
        <v>0</v>
      </c>
      <c r="D3" s="4">
        <f>B3*C$29</f>
        <v>51119.444444444445</v>
      </c>
      <c r="E3" s="16">
        <f t="shared" ref="E3:E20" si="0">IF(B3=15,(C$33),0)</f>
        <v>9542.2962962962811</v>
      </c>
      <c r="F3" s="4">
        <f>D3+E3</f>
        <v>60661.74074074073</v>
      </c>
    </row>
    <row r="4" spans="1:6" x14ac:dyDescent="0.25">
      <c r="A4" s="1" t="s">
        <v>7</v>
      </c>
      <c r="B4" s="11">
        <v>12</v>
      </c>
      <c r="C4" s="24">
        <f t="shared" ref="C4:C20" si="1">15-B4</f>
        <v>3</v>
      </c>
      <c r="D4" s="4">
        <f t="shared" ref="D4:D20" si="2">B4*C$29</f>
        <v>40895.555555555555</v>
      </c>
      <c r="E4" s="16">
        <f t="shared" si="0"/>
        <v>0</v>
      </c>
      <c r="F4" s="4">
        <f t="shared" ref="F4:F20" si="3">D4+E4</f>
        <v>40895.555555555555</v>
      </c>
    </row>
    <row r="5" spans="1:6" x14ac:dyDescent="0.25">
      <c r="A5" s="1" t="s">
        <v>22</v>
      </c>
      <c r="B5" s="11">
        <v>15</v>
      </c>
      <c r="C5" s="24">
        <f t="shared" si="1"/>
        <v>0</v>
      </c>
      <c r="D5" s="4">
        <f t="shared" si="2"/>
        <v>51119.444444444445</v>
      </c>
      <c r="E5" s="16">
        <f t="shared" si="0"/>
        <v>9542.2962962962811</v>
      </c>
      <c r="F5" s="4">
        <f t="shared" si="3"/>
        <v>60661.74074074073</v>
      </c>
    </row>
    <row r="6" spans="1:6" x14ac:dyDescent="0.25">
      <c r="A6" s="1" t="s">
        <v>23</v>
      </c>
      <c r="B6" s="11">
        <v>15</v>
      </c>
      <c r="C6" s="24">
        <f t="shared" si="1"/>
        <v>0</v>
      </c>
      <c r="D6" s="4">
        <f t="shared" si="2"/>
        <v>51119.444444444445</v>
      </c>
      <c r="E6" s="16">
        <f t="shared" si="0"/>
        <v>9542.2962962962811</v>
      </c>
      <c r="F6" s="4">
        <f t="shared" si="3"/>
        <v>60661.74074074073</v>
      </c>
    </row>
    <row r="7" spans="1:6" x14ac:dyDescent="0.25">
      <c r="A7" s="1" t="s">
        <v>24</v>
      </c>
      <c r="B7" s="11">
        <v>15</v>
      </c>
      <c r="C7" s="24">
        <f t="shared" si="1"/>
        <v>0</v>
      </c>
      <c r="D7" s="4">
        <f t="shared" si="2"/>
        <v>51119.444444444445</v>
      </c>
      <c r="E7" s="16">
        <f t="shared" si="0"/>
        <v>9542.2962962962811</v>
      </c>
      <c r="F7" s="4">
        <f t="shared" si="3"/>
        <v>60661.74074074073</v>
      </c>
    </row>
    <row r="8" spans="1:6" x14ac:dyDescent="0.25">
      <c r="A8" s="1" t="s">
        <v>18</v>
      </c>
      <c r="B8" s="11">
        <v>15</v>
      </c>
      <c r="C8" s="24">
        <f t="shared" si="1"/>
        <v>0</v>
      </c>
      <c r="D8" s="4">
        <f t="shared" si="2"/>
        <v>51119.444444444445</v>
      </c>
      <c r="E8" s="16">
        <f t="shared" si="0"/>
        <v>9542.2962962962811</v>
      </c>
      <c r="F8" s="4">
        <f t="shared" si="3"/>
        <v>60661.74074074073</v>
      </c>
    </row>
    <row r="9" spans="1:6" x14ac:dyDescent="0.25">
      <c r="A9" s="1" t="s">
        <v>21</v>
      </c>
      <c r="B9" s="11">
        <v>15</v>
      </c>
      <c r="C9" s="24">
        <f t="shared" si="1"/>
        <v>0</v>
      </c>
      <c r="D9" s="4">
        <f t="shared" si="2"/>
        <v>51119.444444444445</v>
      </c>
      <c r="E9" s="16">
        <f t="shared" si="0"/>
        <v>9542.2962962962811</v>
      </c>
      <c r="F9" s="4">
        <f t="shared" si="3"/>
        <v>60661.74074074073</v>
      </c>
    </row>
    <row r="10" spans="1:6" x14ac:dyDescent="0.25">
      <c r="A10" s="1" t="s">
        <v>20</v>
      </c>
      <c r="B10" s="11">
        <v>13</v>
      </c>
      <c r="C10" s="24">
        <f t="shared" si="1"/>
        <v>2</v>
      </c>
      <c r="D10" s="4">
        <f t="shared" si="2"/>
        <v>44303.518518518518</v>
      </c>
      <c r="E10" s="16">
        <f t="shared" si="0"/>
        <v>0</v>
      </c>
      <c r="F10" s="4">
        <f t="shared" si="3"/>
        <v>44303.518518518518</v>
      </c>
    </row>
    <row r="11" spans="1:6" x14ac:dyDescent="0.25">
      <c r="A11" s="1" t="s">
        <v>16</v>
      </c>
      <c r="B11" s="11">
        <v>4</v>
      </c>
      <c r="C11" s="24">
        <f t="shared" si="1"/>
        <v>11</v>
      </c>
      <c r="D11" s="4">
        <f t="shared" si="2"/>
        <v>13631.851851851852</v>
      </c>
      <c r="E11" s="16">
        <f t="shared" si="0"/>
        <v>0</v>
      </c>
      <c r="F11" s="4">
        <f t="shared" si="3"/>
        <v>13631.851851851852</v>
      </c>
    </row>
    <row r="12" spans="1:6" x14ac:dyDescent="0.25">
      <c r="A12" s="1" t="s">
        <v>17</v>
      </c>
      <c r="B12" s="11">
        <v>15</v>
      </c>
      <c r="C12" s="24">
        <f t="shared" si="1"/>
        <v>0</v>
      </c>
      <c r="D12" s="4">
        <f t="shared" si="2"/>
        <v>51119.444444444445</v>
      </c>
      <c r="E12" s="16">
        <f t="shared" si="0"/>
        <v>9542.2962962962811</v>
      </c>
      <c r="F12" s="4">
        <f t="shared" si="3"/>
        <v>60661.74074074073</v>
      </c>
    </row>
    <row r="13" spans="1:6" x14ac:dyDescent="0.25">
      <c r="A13" s="1" t="s">
        <v>19</v>
      </c>
      <c r="B13" s="11">
        <v>13</v>
      </c>
      <c r="C13" s="24">
        <f t="shared" si="1"/>
        <v>2</v>
      </c>
      <c r="D13" s="4">
        <f t="shared" si="2"/>
        <v>44303.518518518518</v>
      </c>
      <c r="E13" s="16">
        <f t="shared" si="0"/>
        <v>0</v>
      </c>
      <c r="F13" s="4">
        <f t="shared" si="3"/>
        <v>44303.518518518518</v>
      </c>
    </row>
    <row r="14" spans="1:6" x14ac:dyDescent="0.25">
      <c r="A14" s="1" t="s">
        <v>8</v>
      </c>
      <c r="B14" s="11">
        <v>15</v>
      </c>
      <c r="C14" s="24">
        <f t="shared" si="1"/>
        <v>0</v>
      </c>
      <c r="D14" s="4">
        <f t="shared" si="2"/>
        <v>51119.444444444445</v>
      </c>
      <c r="E14" s="16">
        <f t="shared" si="0"/>
        <v>9542.2962962962811</v>
      </c>
      <c r="F14" s="4">
        <f t="shared" si="3"/>
        <v>60661.74074074073</v>
      </c>
    </row>
    <row r="15" spans="1:6" x14ac:dyDescent="0.25">
      <c r="A15" s="1" t="s">
        <v>5</v>
      </c>
      <c r="B15" s="11">
        <v>13</v>
      </c>
      <c r="C15" s="24">
        <f t="shared" si="1"/>
        <v>2</v>
      </c>
      <c r="D15" s="4">
        <f t="shared" si="2"/>
        <v>44303.518518518518</v>
      </c>
      <c r="E15" s="16">
        <f t="shared" si="0"/>
        <v>0</v>
      </c>
      <c r="F15" s="4">
        <f t="shared" si="3"/>
        <v>44303.518518518518</v>
      </c>
    </row>
    <row r="16" spans="1:6" x14ac:dyDescent="0.25">
      <c r="A16" s="1" t="s">
        <v>15</v>
      </c>
      <c r="B16" s="11">
        <v>10</v>
      </c>
      <c r="C16" s="24">
        <f t="shared" si="1"/>
        <v>5</v>
      </c>
      <c r="D16" s="4">
        <f t="shared" si="2"/>
        <v>34079.629629629628</v>
      </c>
      <c r="E16" s="16">
        <f t="shared" si="0"/>
        <v>0</v>
      </c>
      <c r="F16" s="4">
        <f t="shared" si="3"/>
        <v>34079.629629629628</v>
      </c>
    </row>
    <row r="17" spans="1:6" x14ac:dyDescent="0.25">
      <c r="A17" s="1" t="s">
        <v>9</v>
      </c>
      <c r="B17" s="11">
        <v>14</v>
      </c>
      <c r="C17" s="24">
        <f t="shared" si="1"/>
        <v>1</v>
      </c>
      <c r="D17" s="4">
        <f t="shared" si="2"/>
        <v>47711.481481481482</v>
      </c>
      <c r="E17" s="16">
        <f t="shared" si="0"/>
        <v>0</v>
      </c>
      <c r="F17" s="4">
        <f t="shared" si="3"/>
        <v>47711.481481481482</v>
      </c>
    </row>
    <row r="18" spans="1:6" x14ac:dyDescent="0.25">
      <c r="A18" s="7" t="s">
        <v>10</v>
      </c>
      <c r="B18" s="11">
        <v>13</v>
      </c>
      <c r="C18" s="24">
        <f t="shared" si="1"/>
        <v>2</v>
      </c>
      <c r="D18" s="4">
        <f t="shared" si="2"/>
        <v>44303.518518518518</v>
      </c>
      <c r="E18" s="16">
        <f t="shared" si="0"/>
        <v>0</v>
      </c>
      <c r="F18" s="4">
        <f t="shared" si="3"/>
        <v>44303.518518518518</v>
      </c>
    </row>
    <row r="19" spans="1:6" x14ac:dyDescent="0.25">
      <c r="A19" s="1" t="s">
        <v>12</v>
      </c>
      <c r="B19" s="11">
        <v>15</v>
      </c>
      <c r="C19" s="24">
        <f t="shared" si="1"/>
        <v>0</v>
      </c>
      <c r="D19" s="4">
        <f t="shared" si="2"/>
        <v>51119.444444444445</v>
      </c>
      <c r="E19" s="16">
        <f t="shared" si="0"/>
        <v>9542.2962962962811</v>
      </c>
      <c r="F19" s="4">
        <f t="shared" si="3"/>
        <v>60661.74074074073</v>
      </c>
    </row>
    <row r="20" spans="1:6" x14ac:dyDescent="0.25">
      <c r="A20" s="1" t="s">
        <v>11</v>
      </c>
      <c r="B20" s="11">
        <v>15</v>
      </c>
      <c r="C20" s="24">
        <f t="shared" si="1"/>
        <v>0</v>
      </c>
      <c r="D20" s="4">
        <f t="shared" si="2"/>
        <v>51119.444444444445</v>
      </c>
      <c r="E20" s="16">
        <f t="shared" si="0"/>
        <v>9542.2962962962811</v>
      </c>
      <c r="F20" s="4">
        <f t="shared" si="3"/>
        <v>60661.74074074073</v>
      </c>
    </row>
    <row r="21" spans="1:6" x14ac:dyDescent="0.25">
      <c r="D21" s="5"/>
    </row>
    <row r="22" spans="1:6" x14ac:dyDescent="0.25">
      <c r="A22" s="81" t="s">
        <v>31</v>
      </c>
      <c r="B22" s="82"/>
      <c r="C22" s="83"/>
      <c r="D22" s="14">
        <f>SUM(D3:D20)</f>
        <v>824727.0370370372</v>
      </c>
      <c r="E22" s="17">
        <f>SUM(E3:E20)</f>
        <v>95422.962962962789</v>
      </c>
      <c r="F22" s="17">
        <f>SUM(F3:F20)</f>
        <v>920150</v>
      </c>
    </row>
    <row r="26" spans="1:6" x14ac:dyDescent="0.25">
      <c r="A26" s="85" t="s">
        <v>14</v>
      </c>
      <c r="B26" s="86"/>
      <c r="C26" s="11">
        <v>18</v>
      </c>
    </row>
    <row r="27" spans="1:6" x14ac:dyDescent="0.25">
      <c r="A27" s="85" t="s">
        <v>4</v>
      </c>
      <c r="B27" s="86"/>
      <c r="C27" s="19">
        <v>920150</v>
      </c>
      <c r="F27" s="20">
        <f>C27-F22</f>
        <v>0</v>
      </c>
    </row>
    <row r="28" spans="1:6" x14ac:dyDescent="0.25">
      <c r="A28" s="85" t="s">
        <v>2</v>
      </c>
      <c r="B28" s="86"/>
      <c r="C28" s="10">
        <f>C27/C26</f>
        <v>51119.444444444445</v>
      </c>
    </row>
    <row r="29" spans="1:6" x14ac:dyDescent="0.25">
      <c r="A29" s="85" t="s">
        <v>3</v>
      </c>
      <c r="B29" s="86"/>
      <c r="C29" s="9">
        <f>C28/15</f>
        <v>3407.962962962963</v>
      </c>
    </row>
    <row r="30" spans="1:6" x14ac:dyDescent="0.25">
      <c r="A30" s="85" t="s">
        <v>25</v>
      </c>
      <c r="B30" s="86"/>
      <c r="C30" s="18">
        <f>C27-D22</f>
        <v>95422.962962962803</v>
      </c>
      <c r="E30" s="20">
        <f>C30-E22</f>
        <v>0</v>
      </c>
    </row>
    <row r="31" spans="1:6" x14ac:dyDescent="0.25">
      <c r="A31" s="87"/>
      <c r="B31" s="87"/>
      <c r="C31" s="87"/>
    </row>
    <row r="32" spans="1:6" x14ac:dyDescent="0.25">
      <c r="A32" s="80" t="s">
        <v>26</v>
      </c>
      <c r="B32" s="80"/>
      <c r="C32" s="13">
        <f>COUNTIF(B3:B20,15)</f>
        <v>10</v>
      </c>
      <c r="E32" s="3"/>
    </row>
    <row r="33" spans="1:3" x14ac:dyDescent="0.25">
      <c r="A33" s="80" t="s">
        <v>30</v>
      </c>
      <c r="B33" s="80"/>
      <c r="C33" s="4">
        <f>C30/C32</f>
        <v>9542.2962962962811</v>
      </c>
    </row>
  </sheetData>
  <mergeCells count="10">
    <mergeCell ref="A30:B30"/>
    <mergeCell ref="A31:C31"/>
    <mergeCell ref="A32:B32"/>
    <mergeCell ref="A33:B33"/>
    <mergeCell ref="A1:F1"/>
    <mergeCell ref="A22:C22"/>
    <mergeCell ref="A26:B26"/>
    <mergeCell ref="A27:B27"/>
    <mergeCell ref="A28:B28"/>
    <mergeCell ref="A29:B29"/>
  </mergeCells>
  <conditionalFormatting sqref="E3:E20">
    <cfRule type="containsText" dxfId="37" priority="2" operator="containsText" text="0">
      <formula>NOT(ISERROR(SEARCH("0",E3)))</formula>
    </cfRule>
  </conditionalFormatting>
  <conditionalFormatting sqref="C3:C20">
    <cfRule type="cellIs" dxfId="36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H29" sqref="H29"/>
    </sheetView>
  </sheetViews>
  <sheetFormatPr defaultRowHeight="15" x14ac:dyDescent="0.25"/>
  <cols>
    <col min="1" max="1" width="21.5703125" bestFit="1" customWidth="1"/>
    <col min="2" max="2" width="17.42578125" bestFit="1" customWidth="1"/>
    <col min="3" max="3" width="15.5703125" bestFit="1" customWidth="1"/>
    <col min="4" max="4" width="15.42578125" bestFit="1" customWidth="1"/>
    <col min="5" max="5" width="13.5703125" bestFit="1" customWidth="1"/>
    <col min="6" max="6" width="14.42578125" bestFit="1" customWidth="1"/>
  </cols>
  <sheetData>
    <row r="1" spans="1:14" x14ac:dyDescent="0.25">
      <c r="A1" s="84" t="s">
        <v>32</v>
      </c>
      <c r="B1" s="84"/>
      <c r="C1" s="84"/>
      <c r="D1" s="84"/>
      <c r="E1" s="84"/>
      <c r="F1" s="84"/>
    </row>
    <row r="2" spans="1:14" x14ac:dyDescent="0.25">
      <c r="A2" s="22" t="s">
        <v>29</v>
      </c>
      <c r="B2" s="22" t="s">
        <v>0</v>
      </c>
      <c r="C2" s="23" t="s">
        <v>1</v>
      </c>
      <c r="D2" s="22" t="s">
        <v>13</v>
      </c>
      <c r="E2" s="12" t="s">
        <v>27</v>
      </c>
      <c r="F2" s="12" t="s">
        <v>28</v>
      </c>
    </row>
    <row r="3" spans="1:14" x14ac:dyDescent="0.25">
      <c r="A3" s="1" t="s">
        <v>6</v>
      </c>
      <c r="B3" s="11">
        <v>15</v>
      </c>
      <c r="C3" s="24">
        <f>15-B3</f>
        <v>0</v>
      </c>
      <c r="D3" s="4">
        <f t="shared" ref="D3:D19" si="0">B3*C$28</f>
        <v>37338.888888888891</v>
      </c>
      <c r="E3" s="16">
        <f t="shared" ref="E3:E19" si="1">IF(B3=15,(C$32),0)</f>
        <v>14313.24074074073</v>
      </c>
      <c r="F3" s="4">
        <f>D3+E3</f>
        <v>51652.12962962962</v>
      </c>
    </row>
    <row r="4" spans="1:14" x14ac:dyDescent="0.25">
      <c r="A4" s="1" t="s">
        <v>7</v>
      </c>
      <c r="B4" s="11">
        <v>14</v>
      </c>
      <c r="C4" s="24">
        <v>1</v>
      </c>
      <c r="D4" s="4">
        <f t="shared" si="0"/>
        <v>34849.629629629635</v>
      </c>
      <c r="E4" s="16">
        <f t="shared" si="1"/>
        <v>0</v>
      </c>
      <c r="F4" s="4">
        <f t="shared" ref="F4:F19" si="2">D4+E4</f>
        <v>34849.629629629635</v>
      </c>
    </row>
    <row r="5" spans="1:14" x14ac:dyDescent="0.25">
      <c r="A5" s="1" t="s">
        <v>22</v>
      </c>
      <c r="B5" s="11">
        <v>15</v>
      </c>
      <c r="C5" s="24">
        <f t="shared" ref="C5:C19" si="3">15-B5</f>
        <v>0</v>
      </c>
      <c r="D5" s="4">
        <f t="shared" si="0"/>
        <v>37338.888888888891</v>
      </c>
      <c r="E5" s="16">
        <f t="shared" si="1"/>
        <v>14313.24074074073</v>
      </c>
      <c r="F5" s="4">
        <f t="shared" si="2"/>
        <v>51652.12962962962</v>
      </c>
    </row>
    <row r="6" spans="1:14" x14ac:dyDescent="0.25">
      <c r="A6" s="1" t="s">
        <v>23</v>
      </c>
      <c r="B6" s="11">
        <v>12</v>
      </c>
      <c r="C6" s="24">
        <f t="shared" si="3"/>
        <v>3</v>
      </c>
      <c r="D6" s="4">
        <f t="shared" si="0"/>
        <v>29871.111111111117</v>
      </c>
      <c r="E6" s="16">
        <f t="shared" si="1"/>
        <v>0</v>
      </c>
      <c r="F6" s="4">
        <f t="shared" si="2"/>
        <v>29871.111111111117</v>
      </c>
    </row>
    <row r="7" spans="1:14" x14ac:dyDescent="0.25">
      <c r="A7" s="1" t="s">
        <v>24</v>
      </c>
      <c r="B7" s="11">
        <v>15</v>
      </c>
      <c r="C7" s="24">
        <f t="shared" si="3"/>
        <v>0</v>
      </c>
      <c r="D7" s="4">
        <f t="shared" si="0"/>
        <v>37338.888888888891</v>
      </c>
      <c r="E7" s="16">
        <f t="shared" si="1"/>
        <v>14313.24074074073</v>
      </c>
      <c r="F7" s="4">
        <f t="shared" si="2"/>
        <v>51652.12962962962</v>
      </c>
    </row>
    <row r="8" spans="1:14" x14ac:dyDescent="0.25">
      <c r="A8" s="1" t="s">
        <v>18</v>
      </c>
      <c r="B8" s="11">
        <v>15</v>
      </c>
      <c r="C8" s="24">
        <f t="shared" si="3"/>
        <v>0</v>
      </c>
      <c r="D8" s="4">
        <f t="shared" si="0"/>
        <v>37338.888888888891</v>
      </c>
      <c r="E8" s="16">
        <f t="shared" si="1"/>
        <v>14313.24074074073</v>
      </c>
      <c r="F8" s="4">
        <f t="shared" si="2"/>
        <v>51652.12962962962</v>
      </c>
    </row>
    <row r="9" spans="1:14" x14ac:dyDescent="0.25">
      <c r="A9" s="1" t="s">
        <v>21</v>
      </c>
      <c r="B9" s="11">
        <v>13</v>
      </c>
      <c r="C9" s="24">
        <f t="shared" si="3"/>
        <v>2</v>
      </c>
      <c r="D9" s="4">
        <f t="shared" si="0"/>
        <v>32360.370370370376</v>
      </c>
      <c r="E9" s="16">
        <f t="shared" si="1"/>
        <v>0</v>
      </c>
      <c r="F9" s="4">
        <f t="shared" si="2"/>
        <v>32360.370370370376</v>
      </c>
    </row>
    <row r="10" spans="1:14" x14ac:dyDescent="0.25">
      <c r="A10" s="1" t="s">
        <v>20</v>
      </c>
      <c r="B10" s="11">
        <v>15</v>
      </c>
      <c r="C10" s="24">
        <f t="shared" si="3"/>
        <v>0</v>
      </c>
      <c r="D10" s="4">
        <f t="shared" si="0"/>
        <v>37338.888888888891</v>
      </c>
      <c r="E10" s="16">
        <f t="shared" si="1"/>
        <v>14313.24074074073</v>
      </c>
      <c r="F10" s="4">
        <f t="shared" si="2"/>
        <v>51652.12962962962</v>
      </c>
    </row>
    <row r="11" spans="1:14" x14ac:dyDescent="0.25">
      <c r="A11" s="1" t="s">
        <v>16</v>
      </c>
      <c r="B11" s="11">
        <v>4</v>
      </c>
      <c r="C11" s="24">
        <f t="shared" si="3"/>
        <v>11</v>
      </c>
      <c r="D11" s="4">
        <f t="shared" si="0"/>
        <v>9957.0370370370383</v>
      </c>
      <c r="E11" s="16">
        <f t="shared" si="1"/>
        <v>0</v>
      </c>
      <c r="F11" s="4">
        <f t="shared" si="2"/>
        <v>9957.0370370370383</v>
      </c>
      <c r="N11" t="s">
        <v>34</v>
      </c>
    </row>
    <row r="12" spans="1:14" x14ac:dyDescent="0.25">
      <c r="A12" s="1" t="s">
        <v>17</v>
      </c>
      <c r="B12" s="11">
        <v>13</v>
      </c>
      <c r="C12" s="24">
        <f t="shared" si="3"/>
        <v>2</v>
      </c>
      <c r="D12" s="4">
        <f t="shared" si="0"/>
        <v>32360.370370370376</v>
      </c>
      <c r="E12" s="16">
        <f t="shared" si="1"/>
        <v>0</v>
      </c>
      <c r="F12" s="4">
        <f t="shared" si="2"/>
        <v>32360.370370370376</v>
      </c>
    </row>
    <row r="13" spans="1:14" x14ac:dyDescent="0.25">
      <c r="A13" s="1" t="s">
        <v>19</v>
      </c>
      <c r="B13" s="11">
        <v>12</v>
      </c>
      <c r="C13" s="24">
        <f t="shared" si="3"/>
        <v>3</v>
      </c>
      <c r="D13" s="4">
        <f t="shared" si="0"/>
        <v>29871.111111111117</v>
      </c>
      <c r="E13" s="16">
        <f t="shared" si="1"/>
        <v>0</v>
      </c>
      <c r="F13" s="4">
        <f t="shared" si="2"/>
        <v>29871.111111111117</v>
      </c>
    </row>
    <row r="14" spans="1:14" x14ac:dyDescent="0.25">
      <c r="A14" s="1" t="s">
        <v>8</v>
      </c>
      <c r="B14" s="11">
        <v>15</v>
      </c>
      <c r="C14" s="24">
        <f t="shared" si="3"/>
        <v>0</v>
      </c>
      <c r="D14" s="4">
        <f t="shared" si="0"/>
        <v>37338.888888888891</v>
      </c>
      <c r="E14" s="16">
        <f t="shared" si="1"/>
        <v>14313.24074074073</v>
      </c>
      <c r="F14" s="4">
        <f t="shared" si="2"/>
        <v>51652.12962962962</v>
      </c>
    </row>
    <row r="15" spans="1:14" x14ac:dyDescent="0.25">
      <c r="A15" s="1" t="s">
        <v>5</v>
      </c>
      <c r="B15" s="11">
        <v>15</v>
      </c>
      <c r="C15" s="24">
        <f t="shared" si="3"/>
        <v>0</v>
      </c>
      <c r="D15" s="4">
        <f t="shared" si="0"/>
        <v>37338.888888888891</v>
      </c>
      <c r="E15" s="16">
        <f t="shared" si="1"/>
        <v>14313.24074074073</v>
      </c>
      <c r="F15" s="4">
        <f t="shared" si="2"/>
        <v>51652.12962962962</v>
      </c>
    </row>
    <row r="16" spans="1:14" x14ac:dyDescent="0.25">
      <c r="A16" s="1" t="s">
        <v>9</v>
      </c>
      <c r="B16" s="11">
        <v>10</v>
      </c>
      <c r="C16" s="24">
        <f t="shared" si="3"/>
        <v>5</v>
      </c>
      <c r="D16" s="4">
        <f t="shared" si="0"/>
        <v>24892.592592592595</v>
      </c>
      <c r="E16" s="16">
        <f t="shared" si="1"/>
        <v>0</v>
      </c>
      <c r="F16" s="4">
        <f t="shared" si="2"/>
        <v>24892.592592592595</v>
      </c>
    </row>
    <row r="17" spans="1:6" x14ac:dyDescent="0.25">
      <c r="A17" s="7" t="s">
        <v>10</v>
      </c>
      <c r="B17" s="11">
        <v>13</v>
      </c>
      <c r="C17" s="24">
        <f t="shared" si="3"/>
        <v>2</v>
      </c>
      <c r="D17" s="4">
        <f t="shared" si="0"/>
        <v>32360.370370370376</v>
      </c>
      <c r="E17" s="16">
        <f t="shared" si="1"/>
        <v>0</v>
      </c>
      <c r="F17" s="4">
        <f t="shared" si="2"/>
        <v>32360.370370370376</v>
      </c>
    </row>
    <row r="18" spans="1:6" x14ac:dyDescent="0.25">
      <c r="A18" s="1" t="s">
        <v>12</v>
      </c>
      <c r="B18" s="11">
        <v>13</v>
      </c>
      <c r="C18" s="24">
        <f t="shared" si="3"/>
        <v>2</v>
      </c>
      <c r="D18" s="4">
        <f t="shared" si="0"/>
        <v>32360.370370370376</v>
      </c>
      <c r="E18" s="16">
        <f t="shared" si="1"/>
        <v>0</v>
      </c>
      <c r="F18" s="4">
        <f t="shared" si="2"/>
        <v>32360.370370370376</v>
      </c>
    </row>
    <row r="19" spans="1:6" x14ac:dyDescent="0.25">
      <c r="A19" s="1" t="s">
        <v>11</v>
      </c>
      <c r="B19" s="11">
        <v>15</v>
      </c>
      <c r="C19" s="24">
        <f t="shared" si="3"/>
        <v>0</v>
      </c>
      <c r="D19" s="4">
        <f t="shared" si="0"/>
        <v>37338.888888888891</v>
      </c>
      <c r="E19" s="16">
        <f t="shared" si="1"/>
        <v>14313.24074074073</v>
      </c>
      <c r="F19" s="4">
        <f t="shared" si="2"/>
        <v>51652.12962962962</v>
      </c>
    </row>
    <row r="20" spans="1:6" x14ac:dyDescent="0.25">
      <c r="D20" s="5"/>
    </row>
    <row r="21" spans="1:6" x14ac:dyDescent="0.25">
      <c r="A21" s="81" t="s">
        <v>31</v>
      </c>
      <c r="B21" s="82"/>
      <c r="C21" s="83"/>
      <c r="D21" s="14">
        <f>SUM(D3:D19)</f>
        <v>557594.07407407416</v>
      </c>
      <c r="E21" s="17">
        <f>SUM(E3:E19)</f>
        <v>114505.92592592584</v>
      </c>
      <c r="F21" s="17">
        <f>SUM(F3:F19)</f>
        <v>672099.99999999988</v>
      </c>
    </row>
    <row r="25" spans="1:6" x14ac:dyDescent="0.25">
      <c r="A25" s="85" t="s">
        <v>14</v>
      </c>
      <c r="B25" s="86"/>
      <c r="C25" s="11">
        <v>18</v>
      </c>
    </row>
    <row r="26" spans="1:6" x14ac:dyDescent="0.25">
      <c r="A26" s="85" t="s">
        <v>4</v>
      </c>
      <c r="B26" s="86"/>
      <c r="C26" s="19">
        <v>672100</v>
      </c>
      <c r="F26" s="20">
        <f>C26-F21</f>
        <v>0</v>
      </c>
    </row>
    <row r="27" spans="1:6" x14ac:dyDescent="0.25">
      <c r="A27" s="85" t="s">
        <v>2</v>
      </c>
      <c r="B27" s="86"/>
      <c r="C27" s="10">
        <f>C26/C25</f>
        <v>37338.888888888891</v>
      </c>
    </row>
    <row r="28" spans="1:6" x14ac:dyDescent="0.25">
      <c r="A28" s="85" t="s">
        <v>3</v>
      </c>
      <c r="B28" s="86"/>
      <c r="C28" s="9">
        <f>C27/15</f>
        <v>2489.2592592592596</v>
      </c>
    </row>
    <row r="29" spans="1:6" x14ac:dyDescent="0.25">
      <c r="A29" s="85" t="s">
        <v>25</v>
      </c>
      <c r="B29" s="86"/>
      <c r="C29" s="18">
        <f>C26-D21</f>
        <v>114505.92592592584</v>
      </c>
      <c r="E29" s="20">
        <f>C29-E21</f>
        <v>0</v>
      </c>
    </row>
    <row r="30" spans="1:6" x14ac:dyDescent="0.25">
      <c r="A30" s="87"/>
      <c r="B30" s="87"/>
      <c r="C30" s="87"/>
    </row>
    <row r="31" spans="1:6" x14ac:dyDescent="0.25">
      <c r="A31" s="80" t="s">
        <v>26</v>
      </c>
      <c r="B31" s="80"/>
      <c r="C31" s="13">
        <f>COUNTIF(B3:B19,15)</f>
        <v>8</v>
      </c>
      <c r="E31" s="3"/>
    </row>
    <row r="32" spans="1:6" x14ac:dyDescent="0.25">
      <c r="A32" s="80" t="s">
        <v>30</v>
      </c>
      <c r="B32" s="80"/>
      <c r="C32" s="4">
        <f>C29/C31</f>
        <v>14313.24074074073</v>
      </c>
    </row>
  </sheetData>
  <mergeCells count="10">
    <mergeCell ref="A29:B29"/>
    <mergeCell ref="A30:C30"/>
    <mergeCell ref="A31:B31"/>
    <mergeCell ref="A32:B32"/>
    <mergeCell ref="A1:F1"/>
    <mergeCell ref="A21:C21"/>
    <mergeCell ref="A25:B25"/>
    <mergeCell ref="A26:B26"/>
    <mergeCell ref="A27:B27"/>
    <mergeCell ref="A28:B28"/>
  </mergeCells>
  <conditionalFormatting sqref="E3:E19">
    <cfRule type="containsText" dxfId="35" priority="2" operator="containsText" text="0">
      <formula>NOT(ISERROR(SEARCH("0",E3)))</formula>
    </cfRule>
  </conditionalFormatting>
  <conditionalFormatting sqref="C3:C19">
    <cfRule type="cellIs" dxfId="34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C27" sqref="C27"/>
    </sheetView>
  </sheetViews>
  <sheetFormatPr defaultRowHeight="15" x14ac:dyDescent="0.25"/>
  <cols>
    <col min="1" max="1" width="21.5703125" bestFit="1" customWidth="1"/>
    <col min="2" max="2" width="17.42578125" bestFit="1" customWidth="1"/>
    <col min="3" max="3" width="15.5703125" bestFit="1" customWidth="1"/>
    <col min="4" max="4" width="15.42578125" bestFit="1" customWidth="1"/>
    <col min="5" max="5" width="13.5703125" bestFit="1" customWidth="1"/>
    <col min="6" max="6" width="14.42578125" bestFit="1" customWidth="1"/>
  </cols>
  <sheetData>
    <row r="1" spans="1:8" x14ac:dyDescent="0.25">
      <c r="A1" s="84" t="s">
        <v>32</v>
      </c>
      <c r="B1" s="84"/>
      <c r="C1" s="84"/>
      <c r="D1" s="84"/>
      <c r="E1" s="84"/>
      <c r="F1" s="84"/>
    </row>
    <row r="2" spans="1:8" x14ac:dyDescent="0.25">
      <c r="A2" s="25" t="s">
        <v>29</v>
      </c>
      <c r="B2" s="25" t="s">
        <v>0</v>
      </c>
      <c r="C2" s="25" t="s">
        <v>1</v>
      </c>
      <c r="D2" s="25" t="s">
        <v>13</v>
      </c>
      <c r="E2" s="12" t="s">
        <v>27</v>
      </c>
      <c r="F2" s="12" t="s">
        <v>28</v>
      </c>
    </row>
    <row r="3" spans="1:8" x14ac:dyDescent="0.25">
      <c r="A3" s="1" t="s">
        <v>6</v>
      </c>
      <c r="B3" s="11">
        <v>13</v>
      </c>
      <c r="C3" s="11">
        <f>15-B3</f>
        <v>2</v>
      </c>
      <c r="D3" s="4">
        <f t="shared" ref="D3:D19" si="0">B3*C$28</f>
        <v>34687.058823529413</v>
      </c>
      <c r="E3" s="16">
        <f t="shared" ref="E3:E19" si="1">IF(B3=15,(C$32),0)</f>
        <v>0</v>
      </c>
      <c r="F3" s="4">
        <f>D3+E3</f>
        <v>34687.058823529413</v>
      </c>
    </row>
    <row r="4" spans="1:8" x14ac:dyDescent="0.25">
      <c r="A4" s="1" t="s">
        <v>7</v>
      </c>
      <c r="B4" s="11">
        <v>15</v>
      </c>
      <c r="C4" s="11">
        <f t="shared" ref="C4:C19" si="2">15-B4</f>
        <v>0</v>
      </c>
      <c r="D4" s="4">
        <f t="shared" si="0"/>
        <v>40023.529411764706</v>
      </c>
      <c r="E4" s="16">
        <f t="shared" si="1"/>
        <v>7004.1176470588252</v>
      </c>
      <c r="F4" s="4">
        <f t="shared" ref="F4:F19" si="3">D4+E4</f>
        <v>47027.647058823532</v>
      </c>
    </row>
    <row r="5" spans="1:8" x14ac:dyDescent="0.25">
      <c r="A5" s="1" t="s">
        <v>22</v>
      </c>
      <c r="B5" s="11">
        <v>10</v>
      </c>
      <c r="C5" s="11">
        <f t="shared" si="2"/>
        <v>5</v>
      </c>
      <c r="D5" s="4">
        <f t="shared" si="0"/>
        <v>26682.352941176472</v>
      </c>
      <c r="E5" s="16">
        <f t="shared" si="1"/>
        <v>0</v>
      </c>
      <c r="F5" s="4">
        <f t="shared" si="3"/>
        <v>26682.352941176472</v>
      </c>
    </row>
    <row r="6" spans="1:8" x14ac:dyDescent="0.25">
      <c r="A6" s="1" t="s">
        <v>23</v>
      </c>
      <c r="B6" s="11">
        <v>11</v>
      </c>
      <c r="C6" s="11">
        <f t="shared" si="2"/>
        <v>4</v>
      </c>
      <c r="D6" s="4">
        <f t="shared" si="0"/>
        <v>29350.588235294119</v>
      </c>
      <c r="E6" s="16">
        <f t="shared" si="1"/>
        <v>0</v>
      </c>
      <c r="F6" s="4">
        <f t="shared" si="3"/>
        <v>29350.588235294119</v>
      </c>
    </row>
    <row r="7" spans="1:8" x14ac:dyDescent="0.25">
      <c r="A7" s="1" t="s">
        <v>24</v>
      </c>
      <c r="B7" s="11">
        <v>14</v>
      </c>
      <c r="C7" s="11">
        <f t="shared" si="2"/>
        <v>1</v>
      </c>
      <c r="D7" s="4">
        <f t="shared" si="0"/>
        <v>37355.294117647063</v>
      </c>
      <c r="E7" s="16">
        <f t="shared" si="1"/>
        <v>0</v>
      </c>
      <c r="F7" s="4">
        <f t="shared" si="3"/>
        <v>37355.294117647063</v>
      </c>
    </row>
    <row r="8" spans="1:8" x14ac:dyDescent="0.25">
      <c r="A8" s="1" t="s">
        <v>18</v>
      </c>
      <c r="B8" s="11">
        <v>15</v>
      </c>
      <c r="C8" s="11">
        <f t="shared" si="2"/>
        <v>0</v>
      </c>
      <c r="D8" s="4">
        <f t="shared" si="0"/>
        <v>40023.529411764706</v>
      </c>
      <c r="E8" s="16">
        <f t="shared" si="1"/>
        <v>7004.1176470588252</v>
      </c>
      <c r="F8" s="4">
        <f t="shared" si="3"/>
        <v>47027.647058823532</v>
      </c>
    </row>
    <row r="9" spans="1:8" x14ac:dyDescent="0.25">
      <c r="A9" s="1" t="s">
        <v>21</v>
      </c>
      <c r="B9" s="11">
        <v>15</v>
      </c>
      <c r="C9" s="11">
        <f t="shared" si="2"/>
        <v>0</v>
      </c>
      <c r="D9" s="4">
        <f t="shared" si="0"/>
        <v>40023.529411764706</v>
      </c>
      <c r="E9" s="16">
        <f t="shared" si="1"/>
        <v>7004.1176470588252</v>
      </c>
      <c r="F9" s="4">
        <f t="shared" si="3"/>
        <v>47027.647058823532</v>
      </c>
    </row>
    <row r="10" spans="1:8" x14ac:dyDescent="0.25">
      <c r="A10" s="1" t="s">
        <v>20</v>
      </c>
      <c r="B10" s="11">
        <v>14</v>
      </c>
      <c r="C10" s="11">
        <f t="shared" si="2"/>
        <v>1</v>
      </c>
      <c r="D10" s="4">
        <f t="shared" si="0"/>
        <v>37355.294117647063</v>
      </c>
      <c r="E10" s="16">
        <f t="shared" si="1"/>
        <v>0</v>
      </c>
      <c r="F10" s="4">
        <f t="shared" si="3"/>
        <v>37355.294117647063</v>
      </c>
    </row>
    <row r="11" spans="1:8" x14ac:dyDescent="0.25">
      <c r="A11" s="1" t="s">
        <v>16</v>
      </c>
      <c r="B11" s="11">
        <v>13</v>
      </c>
      <c r="C11" s="11">
        <f t="shared" si="2"/>
        <v>2</v>
      </c>
      <c r="D11" s="4">
        <f t="shared" si="0"/>
        <v>34687.058823529413</v>
      </c>
      <c r="E11" s="16">
        <f t="shared" si="1"/>
        <v>0</v>
      </c>
      <c r="F11" s="4">
        <f t="shared" si="3"/>
        <v>34687.058823529413</v>
      </c>
      <c r="H11" t="s">
        <v>34</v>
      </c>
    </row>
    <row r="12" spans="1:8" x14ac:dyDescent="0.25">
      <c r="A12" s="1" t="s">
        <v>17</v>
      </c>
      <c r="B12" s="11">
        <v>14</v>
      </c>
      <c r="C12" s="11">
        <f t="shared" si="2"/>
        <v>1</v>
      </c>
      <c r="D12" s="4">
        <f t="shared" si="0"/>
        <v>37355.294117647063</v>
      </c>
      <c r="E12" s="16">
        <f t="shared" si="1"/>
        <v>0</v>
      </c>
      <c r="F12" s="4">
        <f t="shared" si="3"/>
        <v>37355.294117647063</v>
      </c>
    </row>
    <row r="13" spans="1:8" x14ac:dyDescent="0.25">
      <c r="A13" s="1" t="s">
        <v>19</v>
      </c>
      <c r="B13" s="11">
        <v>15</v>
      </c>
      <c r="C13" s="11">
        <f t="shared" si="2"/>
        <v>0</v>
      </c>
      <c r="D13" s="4">
        <f t="shared" si="0"/>
        <v>40023.529411764706</v>
      </c>
      <c r="E13" s="16">
        <f t="shared" si="1"/>
        <v>7004.1176470588252</v>
      </c>
      <c r="F13" s="4">
        <f t="shared" si="3"/>
        <v>47027.647058823532</v>
      </c>
    </row>
    <row r="14" spans="1:8" x14ac:dyDescent="0.25">
      <c r="A14" s="1" t="s">
        <v>8</v>
      </c>
      <c r="B14" s="11">
        <v>12</v>
      </c>
      <c r="C14" s="11">
        <f t="shared" si="2"/>
        <v>3</v>
      </c>
      <c r="D14" s="4">
        <f t="shared" si="0"/>
        <v>32018.823529411769</v>
      </c>
      <c r="E14" s="16">
        <f t="shared" si="1"/>
        <v>0</v>
      </c>
      <c r="F14" s="4">
        <f t="shared" si="3"/>
        <v>32018.823529411769</v>
      </c>
    </row>
    <row r="15" spans="1:8" x14ac:dyDescent="0.25">
      <c r="A15" s="1" t="s">
        <v>5</v>
      </c>
      <c r="B15" s="11">
        <v>15</v>
      </c>
      <c r="C15" s="11">
        <f t="shared" si="2"/>
        <v>0</v>
      </c>
      <c r="D15" s="4">
        <f t="shared" si="0"/>
        <v>40023.529411764706</v>
      </c>
      <c r="E15" s="16">
        <f t="shared" si="1"/>
        <v>7004.1176470588252</v>
      </c>
      <c r="F15" s="4">
        <f t="shared" si="3"/>
        <v>47027.647058823532</v>
      </c>
    </row>
    <row r="16" spans="1:8" x14ac:dyDescent="0.25">
      <c r="A16" s="1" t="s">
        <v>9</v>
      </c>
      <c r="B16" s="11">
        <v>15</v>
      </c>
      <c r="C16" s="11">
        <f t="shared" si="2"/>
        <v>0</v>
      </c>
      <c r="D16" s="4">
        <f t="shared" si="0"/>
        <v>40023.529411764706</v>
      </c>
      <c r="E16" s="16">
        <f t="shared" si="1"/>
        <v>7004.1176470588252</v>
      </c>
      <c r="F16" s="4">
        <f t="shared" si="3"/>
        <v>47027.647058823532</v>
      </c>
    </row>
    <row r="17" spans="1:6" x14ac:dyDescent="0.25">
      <c r="A17" s="7" t="s">
        <v>10</v>
      </c>
      <c r="B17" s="11">
        <v>15</v>
      </c>
      <c r="C17" s="11">
        <f t="shared" si="2"/>
        <v>0</v>
      </c>
      <c r="D17" s="4">
        <f t="shared" si="0"/>
        <v>40023.529411764706</v>
      </c>
      <c r="E17" s="16">
        <f t="shared" si="1"/>
        <v>7004.1176470588252</v>
      </c>
      <c r="F17" s="4">
        <f t="shared" si="3"/>
        <v>47027.647058823532</v>
      </c>
    </row>
    <row r="18" spans="1:6" x14ac:dyDescent="0.25">
      <c r="A18" s="1" t="s">
        <v>12</v>
      </c>
      <c r="B18" s="11">
        <v>13</v>
      </c>
      <c r="C18" s="11">
        <f t="shared" si="2"/>
        <v>2</v>
      </c>
      <c r="D18" s="4">
        <f t="shared" si="0"/>
        <v>34687.058823529413</v>
      </c>
      <c r="E18" s="16">
        <f t="shared" si="1"/>
        <v>0</v>
      </c>
      <c r="F18" s="4">
        <f t="shared" si="3"/>
        <v>34687.058823529413</v>
      </c>
    </row>
    <row r="19" spans="1:6" x14ac:dyDescent="0.25">
      <c r="A19" s="1" t="s">
        <v>11</v>
      </c>
      <c r="B19" s="11">
        <v>15</v>
      </c>
      <c r="C19" s="11">
        <f t="shared" si="2"/>
        <v>0</v>
      </c>
      <c r="D19" s="4">
        <f t="shared" si="0"/>
        <v>40023.529411764706</v>
      </c>
      <c r="E19" s="16">
        <f t="shared" si="1"/>
        <v>7004.1176470588252</v>
      </c>
      <c r="F19" s="4">
        <f t="shared" si="3"/>
        <v>47027.647058823532</v>
      </c>
    </row>
    <row r="20" spans="1:6" x14ac:dyDescent="0.25">
      <c r="D20" s="5"/>
    </row>
    <row r="21" spans="1:6" x14ac:dyDescent="0.25">
      <c r="A21" s="81" t="s">
        <v>31</v>
      </c>
      <c r="B21" s="82"/>
      <c r="C21" s="83"/>
      <c r="D21" s="14">
        <f>SUM(D3:D19)</f>
        <v>624367.0588235294</v>
      </c>
      <c r="E21" s="17">
        <f>SUM(E3:E19)</f>
        <v>56032.941176470602</v>
      </c>
      <c r="F21" s="17">
        <f>SUM(F3:F19)</f>
        <v>680399.99999999988</v>
      </c>
    </row>
    <row r="25" spans="1:6" x14ac:dyDescent="0.25">
      <c r="A25" s="85" t="s">
        <v>14</v>
      </c>
      <c r="B25" s="86"/>
      <c r="C25" s="11">
        <v>17</v>
      </c>
    </row>
    <row r="26" spans="1:6" x14ac:dyDescent="0.25">
      <c r="A26" s="85" t="s">
        <v>4</v>
      </c>
      <c r="B26" s="86"/>
      <c r="C26" s="19">
        <v>680400</v>
      </c>
      <c r="F26" s="20">
        <f>C26-F21</f>
        <v>0</v>
      </c>
    </row>
    <row r="27" spans="1:6" x14ac:dyDescent="0.25">
      <c r="A27" s="85" t="s">
        <v>2</v>
      </c>
      <c r="B27" s="86"/>
      <c r="C27" s="10">
        <f>C26/C25</f>
        <v>40023.529411764706</v>
      </c>
    </row>
    <row r="28" spans="1:6" x14ac:dyDescent="0.25">
      <c r="A28" s="85" t="s">
        <v>3</v>
      </c>
      <c r="B28" s="86"/>
      <c r="C28" s="9">
        <f>C27/15</f>
        <v>2668.2352941176473</v>
      </c>
    </row>
    <row r="29" spans="1:6" x14ac:dyDescent="0.25">
      <c r="A29" s="85" t="s">
        <v>25</v>
      </c>
      <c r="B29" s="86"/>
      <c r="C29" s="18">
        <f>C26-D21</f>
        <v>56032.941176470602</v>
      </c>
      <c r="E29" s="20">
        <f>C29-E21</f>
        <v>0</v>
      </c>
    </row>
    <row r="30" spans="1:6" x14ac:dyDescent="0.25">
      <c r="A30" s="87"/>
      <c r="B30" s="87"/>
      <c r="C30" s="87"/>
    </row>
    <row r="31" spans="1:6" x14ac:dyDescent="0.25">
      <c r="A31" s="80" t="s">
        <v>26</v>
      </c>
      <c r="B31" s="80"/>
      <c r="C31" s="13">
        <f>COUNTIF(B3:B19,15)</f>
        <v>8</v>
      </c>
      <c r="E31" s="3"/>
    </row>
    <row r="32" spans="1:6" x14ac:dyDescent="0.25">
      <c r="A32" s="80" t="s">
        <v>30</v>
      </c>
      <c r="B32" s="80"/>
      <c r="C32" s="4">
        <f>C29/C31</f>
        <v>7004.1176470588252</v>
      </c>
    </row>
  </sheetData>
  <mergeCells count="10">
    <mergeCell ref="A1:F1"/>
    <mergeCell ref="A21:C21"/>
    <mergeCell ref="A29:B29"/>
    <mergeCell ref="A30:C30"/>
    <mergeCell ref="A32:B32"/>
    <mergeCell ref="A28:B28"/>
    <mergeCell ref="A31:B31"/>
    <mergeCell ref="A25:B25"/>
    <mergeCell ref="A26:B26"/>
    <mergeCell ref="A27:B27"/>
  </mergeCells>
  <conditionalFormatting sqref="E3:E19">
    <cfRule type="containsText" dxfId="33" priority="2" operator="containsText" text="0">
      <formula>NOT(ISERROR(SEARCH("0",E3)))</formula>
    </cfRule>
  </conditionalFormatting>
  <conditionalFormatting sqref="C3:C19">
    <cfRule type="cellIs" dxfId="32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21" sqref="F21"/>
    </sheetView>
  </sheetViews>
  <sheetFormatPr defaultRowHeight="15" x14ac:dyDescent="0.25"/>
  <cols>
    <col min="1" max="1" width="21.5703125" bestFit="1" customWidth="1"/>
    <col min="2" max="2" width="17.42578125" bestFit="1" customWidth="1"/>
    <col min="3" max="3" width="15.5703125" bestFit="1" customWidth="1"/>
    <col min="4" max="4" width="15.42578125" bestFit="1" customWidth="1"/>
    <col min="5" max="5" width="13.5703125" bestFit="1" customWidth="1"/>
    <col min="6" max="6" width="14.42578125" bestFit="1" customWidth="1"/>
    <col min="9" max="9" width="10.5703125" bestFit="1" customWidth="1"/>
    <col min="10" max="10" width="10" bestFit="1" customWidth="1"/>
  </cols>
  <sheetData>
    <row r="1" spans="1:10" x14ac:dyDescent="0.25">
      <c r="A1" s="84" t="s">
        <v>32</v>
      </c>
      <c r="B1" s="84"/>
      <c r="C1" s="84"/>
      <c r="D1" s="84"/>
      <c r="E1" s="84"/>
      <c r="F1" s="84"/>
    </row>
    <row r="2" spans="1:10" x14ac:dyDescent="0.25">
      <c r="A2" s="26" t="s">
        <v>29</v>
      </c>
      <c r="B2" s="26" t="s">
        <v>0</v>
      </c>
      <c r="C2" s="26" t="s">
        <v>1</v>
      </c>
      <c r="D2" s="26" t="s">
        <v>13</v>
      </c>
      <c r="E2" s="12" t="s">
        <v>27</v>
      </c>
      <c r="F2" s="12" t="s">
        <v>28</v>
      </c>
    </row>
    <row r="3" spans="1:10" x14ac:dyDescent="0.25">
      <c r="A3" s="1" t="s">
        <v>20</v>
      </c>
      <c r="B3" s="11">
        <v>15</v>
      </c>
      <c r="C3" s="11">
        <f>15-B3</f>
        <v>0</v>
      </c>
      <c r="D3" s="4">
        <f t="shared" ref="D3:D17" si="0">B3*C$26</f>
        <v>56196.666666666664</v>
      </c>
      <c r="E3" s="16">
        <f t="shared" ref="E3:E17" si="1">IF(B3=15,(C$30),0)</f>
        <v>27830.730158730126</v>
      </c>
      <c r="F3" s="4">
        <f>D3+E3+$I$23</f>
        <v>91204.319902319869</v>
      </c>
    </row>
    <row r="4" spans="1:10" x14ac:dyDescent="0.25">
      <c r="A4" s="1" t="s">
        <v>7</v>
      </c>
      <c r="B4" s="11">
        <v>13</v>
      </c>
      <c r="C4" s="11">
        <f t="shared" ref="C4:C17" si="2">15-B4</f>
        <v>2</v>
      </c>
      <c r="D4" s="4">
        <f t="shared" si="0"/>
        <v>48703.777777777774</v>
      </c>
      <c r="E4" s="16">
        <f t="shared" si="1"/>
        <v>0</v>
      </c>
      <c r="F4" s="4">
        <f t="shared" ref="F4:F15" si="3">D4+E4+$I$23</f>
        <v>55880.700854700852</v>
      </c>
    </row>
    <row r="5" spans="1:10" x14ac:dyDescent="0.25">
      <c r="A5" s="1" t="s">
        <v>5</v>
      </c>
      <c r="B5" s="11">
        <v>15</v>
      </c>
      <c r="C5" s="11">
        <f t="shared" si="2"/>
        <v>0</v>
      </c>
      <c r="D5" s="4">
        <f t="shared" si="0"/>
        <v>56196.666666666664</v>
      </c>
      <c r="E5" s="16">
        <f t="shared" si="1"/>
        <v>27830.730158730126</v>
      </c>
      <c r="F5" s="4">
        <f t="shared" si="3"/>
        <v>91204.319902319869</v>
      </c>
    </row>
    <row r="6" spans="1:10" x14ac:dyDescent="0.25">
      <c r="A6" s="1" t="s">
        <v>35</v>
      </c>
      <c r="B6" s="11">
        <v>15</v>
      </c>
      <c r="C6" s="11">
        <f t="shared" si="2"/>
        <v>0</v>
      </c>
      <c r="D6" s="4">
        <f t="shared" si="0"/>
        <v>56196.666666666664</v>
      </c>
      <c r="E6" s="16">
        <f t="shared" si="1"/>
        <v>27830.730158730126</v>
      </c>
      <c r="F6" s="4">
        <f t="shared" si="3"/>
        <v>91204.319902319869</v>
      </c>
    </row>
    <row r="7" spans="1:10" x14ac:dyDescent="0.25">
      <c r="A7" s="1" t="s">
        <v>36</v>
      </c>
      <c r="B7" s="11">
        <v>14</v>
      </c>
      <c r="C7" s="11">
        <f t="shared" si="2"/>
        <v>1</v>
      </c>
      <c r="D7" s="4">
        <f t="shared" si="0"/>
        <v>52450.222222222219</v>
      </c>
      <c r="E7" s="16">
        <f t="shared" si="1"/>
        <v>0</v>
      </c>
      <c r="F7" s="4">
        <f t="shared" si="3"/>
        <v>59627.145299145297</v>
      </c>
    </row>
    <row r="8" spans="1:10" x14ac:dyDescent="0.25">
      <c r="A8" s="1" t="s">
        <v>37</v>
      </c>
      <c r="B8" s="11">
        <v>15</v>
      </c>
      <c r="C8" s="11">
        <f t="shared" si="2"/>
        <v>0</v>
      </c>
      <c r="D8" s="4">
        <f t="shared" si="0"/>
        <v>56196.666666666664</v>
      </c>
      <c r="E8" s="16">
        <f t="shared" si="1"/>
        <v>27830.730158730126</v>
      </c>
      <c r="F8" s="4">
        <f t="shared" si="3"/>
        <v>91204.319902319869</v>
      </c>
    </row>
    <row r="9" spans="1:10" x14ac:dyDescent="0.25">
      <c r="A9" s="1" t="s">
        <v>38</v>
      </c>
      <c r="B9" s="11">
        <v>15</v>
      </c>
      <c r="C9" s="11">
        <f t="shared" si="2"/>
        <v>0</v>
      </c>
      <c r="D9" s="4">
        <f t="shared" si="0"/>
        <v>56196.666666666664</v>
      </c>
      <c r="E9" s="16">
        <f t="shared" si="1"/>
        <v>27830.730158730126</v>
      </c>
      <c r="F9" s="4">
        <f t="shared" si="3"/>
        <v>91204.319902319869</v>
      </c>
    </row>
    <row r="10" spans="1:10" x14ac:dyDescent="0.25">
      <c r="A10" s="1" t="s">
        <v>21</v>
      </c>
      <c r="B10" s="11">
        <v>1</v>
      </c>
      <c r="C10" s="11">
        <f t="shared" si="2"/>
        <v>14</v>
      </c>
      <c r="D10" s="4">
        <f t="shared" si="0"/>
        <v>3746.4444444444443</v>
      </c>
      <c r="E10" s="16">
        <f t="shared" si="1"/>
        <v>0</v>
      </c>
      <c r="F10" s="4">
        <f t="shared" si="3"/>
        <v>10923.367521367521</v>
      </c>
    </row>
    <row r="11" spans="1:10" x14ac:dyDescent="0.25">
      <c r="A11" s="1" t="s">
        <v>39</v>
      </c>
      <c r="B11" s="11">
        <v>4</v>
      </c>
      <c r="C11" s="11">
        <f t="shared" si="2"/>
        <v>11</v>
      </c>
      <c r="D11" s="4">
        <f t="shared" si="0"/>
        <v>14985.777777777777</v>
      </c>
      <c r="E11" s="16">
        <f t="shared" si="1"/>
        <v>0</v>
      </c>
      <c r="F11" s="4">
        <f t="shared" si="3"/>
        <v>22162.700854700855</v>
      </c>
      <c r="H11" t="s">
        <v>34</v>
      </c>
    </row>
    <row r="12" spans="1:10" x14ac:dyDescent="0.25">
      <c r="A12" s="1" t="s">
        <v>16</v>
      </c>
      <c r="B12" s="11">
        <v>15</v>
      </c>
      <c r="C12" s="11">
        <f t="shared" si="2"/>
        <v>0</v>
      </c>
      <c r="D12" s="4">
        <f t="shared" si="0"/>
        <v>56196.666666666664</v>
      </c>
      <c r="E12" s="16">
        <f t="shared" si="1"/>
        <v>27830.730158730126</v>
      </c>
      <c r="F12" s="4">
        <f t="shared" si="3"/>
        <v>91204.319902319869</v>
      </c>
    </row>
    <row r="13" spans="1:10" x14ac:dyDescent="0.25">
      <c r="A13" s="1" t="s">
        <v>40</v>
      </c>
      <c r="B13" s="11">
        <v>15</v>
      </c>
      <c r="C13" s="11">
        <f t="shared" si="2"/>
        <v>0</v>
      </c>
      <c r="D13" s="4">
        <f t="shared" si="0"/>
        <v>56196.666666666664</v>
      </c>
      <c r="E13" s="16">
        <f t="shared" si="1"/>
        <v>27830.730158730126</v>
      </c>
      <c r="F13" s="4">
        <f t="shared" si="3"/>
        <v>91204.319902319869</v>
      </c>
    </row>
    <row r="14" spans="1:10" x14ac:dyDescent="0.25">
      <c r="A14" s="1" t="s">
        <v>41</v>
      </c>
      <c r="B14" s="11">
        <v>9</v>
      </c>
      <c r="C14" s="11">
        <f t="shared" si="2"/>
        <v>6</v>
      </c>
      <c r="D14" s="4">
        <f t="shared" si="0"/>
        <v>33718</v>
      </c>
      <c r="E14" s="16">
        <f t="shared" si="1"/>
        <v>0</v>
      </c>
      <c r="F14" s="4">
        <f t="shared" si="3"/>
        <v>40894.923076923078</v>
      </c>
      <c r="J14" s="5">
        <f>840400+F16</f>
        <v>877864.4444444445</v>
      </c>
    </row>
    <row r="15" spans="1:10" x14ac:dyDescent="0.25">
      <c r="A15" s="1" t="s">
        <v>11</v>
      </c>
      <c r="B15" s="11">
        <v>14</v>
      </c>
      <c r="C15" s="11">
        <f t="shared" si="2"/>
        <v>1</v>
      </c>
      <c r="D15" s="4">
        <f t="shared" si="0"/>
        <v>52450.222222222219</v>
      </c>
      <c r="E15" s="16">
        <f t="shared" si="1"/>
        <v>0</v>
      </c>
      <c r="F15" s="4">
        <f t="shared" si="3"/>
        <v>59627.145299145297</v>
      </c>
    </row>
    <row r="16" spans="1:10" x14ac:dyDescent="0.25">
      <c r="A16" s="1" t="s">
        <v>42</v>
      </c>
      <c r="B16" s="11">
        <v>10</v>
      </c>
      <c r="C16" s="11">
        <f t="shared" si="2"/>
        <v>5</v>
      </c>
      <c r="D16" s="4">
        <f t="shared" si="0"/>
        <v>37464.444444444445</v>
      </c>
      <c r="E16" s="16">
        <f t="shared" si="1"/>
        <v>0</v>
      </c>
      <c r="F16" s="4">
        <f t="shared" ref="F16:F17" si="4">D16+E16</f>
        <v>37464.444444444445</v>
      </c>
    </row>
    <row r="17" spans="1:9" x14ac:dyDescent="0.25">
      <c r="A17" s="7" t="s">
        <v>43</v>
      </c>
      <c r="B17" s="11">
        <v>3</v>
      </c>
      <c r="C17" s="11">
        <f t="shared" si="2"/>
        <v>12</v>
      </c>
      <c r="D17" s="4">
        <f t="shared" si="0"/>
        <v>11239.333333333332</v>
      </c>
      <c r="E17" s="16">
        <f t="shared" si="1"/>
        <v>0</v>
      </c>
      <c r="F17" s="4">
        <f t="shared" si="4"/>
        <v>11239.333333333332</v>
      </c>
    </row>
    <row r="18" spans="1:9" x14ac:dyDescent="0.25">
      <c r="D18" s="5"/>
    </row>
    <row r="19" spans="1:9" x14ac:dyDescent="0.25">
      <c r="A19" s="81" t="s">
        <v>31</v>
      </c>
      <c r="B19" s="82"/>
      <c r="C19" s="83"/>
      <c r="D19" s="14">
        <f>SUM(D3:D17)</f>
        <v>648134.88888888911</v>
      </c>
      <c r="E19" s="17">
        <f>SUM(E3:E17)</f>
        <v>194815.11111111086</v>
      </c>
      <c r="F19" s="17">
        <f>SUM(F3:F17)</f>
        <v>936249.99999999977</v>
      </c>
      <c r="I19" s="17">
        <v>26650</v>
      </c>
    </row>
    <row r="20" spans="1:9" x14ac:dyDescent="0.25">
      <c r="I20" s="17">
        <v>32000</v>
      </c>
    </row>
    <row r="21" spans="1:9" x14ac:dyDescent="0.25">
      <c r="I21" s="17">
        <v>34650</v>
      </c>
    </row>
    <row r="22" spans="1:9" x14ac:dyDescent="0.25">
      <c r="I22" s="27">
        <f>SUM(I19:I21)</f>
        <v>93300</v>
      </c>
    </row>
    <row r="23" spans="1:9" x14ac:dyDescent="0.25">
      <c r="A23" s="85" t="s">
        <v>14</v>
      </c>
      <c r="B23" s="86"/>
      <c r="C23" s="11">
        <v>15</v>
      </c>
      <c r="I23" s="3">
        <f>I22/13</f>
        <v>7176.9230769230771</v>
      </c>
    </row>
    <row r="24" spans="1:9" x14ac:dyDescent="0.25">
      <c r="A24" s="85" t="s">
        <v>4</v>
      </c>
      <c r="B24" s="86"/>
      <c r="C24" s="19">
        <v>842950</v>
      </c>
      <c r="F24" s="20">
        <f>C24-F19</f>
        <v>-93299.999999999767</v>
      </c>
    </row>
    <row r="25" spans="1:9" x14ac:dyDescent="0.25">
      <c r="A25" s="85" t="s">
        <v>2</v>
      </c>
      <c r="B25" s="86"/>
      <c r="C25" s="10">
        <f>C24/C23</f>
        <v>56196.666666666664</v>
      </c>
    </row>
    <row r="26" spans="1:9" x14ac:dyDescent="0.25">
      <c r="A26" s="85" t="s">
        <v>3</v>
      </c>
      <c r="B26" s="86"/>
      <c r="C26" s="9">
        <f>C25/15</f>
        <v>3746.4444444444443</v>
      </c>
    </row>
    <row r="27" spans="1:9" x14ac:dyDescent="0.25">
      <c r="A27" s="85" t="s">
        <v>25</v>
      </c>
      <c r="B27" s="86"/>
      <c r="C27" s="18">
        <f>C24-D19</f>
        <v>194815.11111111089</v>
      </c>
      <c r="E27" s="20">
        <f>C27-E19</f>
        <v>0</v>
      </c>
    </row>
    <row r="28" spans="1:9" x14ac:dyDescent="0.25">
      <c r="A28" s="87"/>
      <c r="B28" s="87"/>
      <c r="C28" s="87"/>
    </row>
    <row r="29" spans="1:9" x14ac:dyDescent="0.25">
      <c r="A29" s="80" t="s">
        <v>26</v>
      </c>
      <c r="B29" s="80"/>
      <c r="C29" s="13">
        <v>7</v>
      </c>
      <c r="E29" s="3"/>
    </row>
    <row r="30" spans="1:9" x14ac:dyDescent="0.25">
      <c r="A30" s="80" t="s">
        <v>30</v>
      </c>
      <c r="B30" s="80"/>
      <c r="C30" s="4">
        <f>C27/C29</f>
        <v>27830.730158730126</v>
      </c>
    </row>
  </sheetData>
  <mergeCells count="10">
    <mergeCell ref="A27:B27"/>
    <mergeCell ref="A28:C28"/>
    <mergeCell ref="A29:B29"/>
    <mergeCell ref="A30:B30"/>
    <mergeCell ref="A1:F1"/>
    <mergeCell ref="A19:C19"/>
    <mergeCell ref="A23:B23"/>
    <mergeCell ref="A24:B24"/>
    <mergeCell ref="A25:B25"/>
    <mergeCell ref="A26:B26"/>
  </mergeCells>
  <conditionalFormatting sqref="E3:E17">
    <cfRule type="containsText" dxfId="31" priority="2" operator="containsText" text="0">
      <formula>NOT(ISERROR(SEARCH("0",E3)))</formula>
    </cfRule>
  </conditionalFormatting>
  <conditionalFormatting sqref="C3:C17">
    <cfRule type="cellIs" dxfId="30" priority="1" operator="equal">
      <formula>0</formula>
    </cfRule>
  </conditionalFormatting>
  <pageMargins left="0.7" right="0.7" top="0.75" bottom="0.75" header="0.3" footer="0.3"/>
  <pageSetup paperSize="258" orientation="landscape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" sqref="E2"/>
    </sheetView>
  </sheetViews>
  <sheetFormatPr defaultRowHeight="15" x14ac:dyDescent="0.25"/>
  <cols>
    <col min="1" max="1" width="21.5703125" bestFit="1" customWidth="1"/>
    <col min="2" max="2" width="17.42578125" bestFit="1" customWidth="1"/>
    <col min="3" max="3" width="15.5703125" bestFit="1" customWidth="1"/>
    <col min="4" max="4" width="15.42578125" bestFit="1" customWidth="1"/>
    <col min="5" max="5" width="13.5703125" bestFit="1" customWidth="1"/>
    <col min="6" max="6" width="14.42578125" bestFit="1" customWidth="1"/>
    <col min="7" max="8" width="11.5703125" bestFit="1" customWidth="1"/>
    <col min="9" max="9" width="10.5703125" bestFit="1" customWidth="1"/>
  </cols>
  <sheetData>
    <row r="1" spans="1:9" x14ac:dyDescent="0.25">
      <c r="A1" s="88" t="s">
        <v>33</v>
      </c>
      <c r="B1" s="88"/>
      <c r="C1" s="88"/>
      <c r="D1" s="88"/>
      <c r="E1" s="88"/>
      <c r="F1" s="88"/>
    </row>
    <row r="2" spans="1:9" x14ac:dyDescent="0.25">
      <c r="A2" s="28" t="s">
        <v>29</v>
      </c>
      <c r="B2" s="28" t="s">
        <v>0</v>
      </c>
      <c r="C2" s="28" t="s">
        <v>1</v>
      </c>
      <c r="D2" s="28" t="s">
        <v>13</v>
      </c>
      <c r="E2" s="28" t="s">
        <v>27</v>
      </c>
      <c r="F2" s="28" t="s">
        <v>28</v>
      </c>
    </row>
    <row r="3" spans="1:9" x14ac:dyDescent="0.25">
      <c r="A3" s="1" t="s">
        <v>20</v>
      </c>
      <c r="B3" s="11">
        <v>15</v>
      </c>
      <c r="C3" s="30"/>
      <c r="D3" s="31">
        <f t="shared" ref="D3:D12" si="0">B3*$C$24</f>
        <v>64661.538461538454</v>
      </c>
      <c r="E3" s="29">
        <f t="shared" ref="E3:E12" si="1">IF(B3=15,(C$28),0)</f>
        <v>11495.384615384624</v>
      </c>
      <c r="F3" s="32">
        <f>E3+D3+$I$11</f>
        <v>87346.923076923078</v>
      </c>
    </row>
    <row r="4" spans="1:9" x14ac:dyDescent="0.25">
      <c r="A4" s="1" t="s">
        <v>7</v>
      </c>
      <c r="B4" s="11">
        <v>14</v>
      </c>
      <c r="C4" s="30">
        <v>1</v>
      </c>
      <c r="D4" s="31">
        <f t="shared" si="0"/>
        <v>60350.769230769227</v>
      </c>
      <c r="E4" s="29">
        <f t="shared" si="1"/>
        <v>0</v>
      </c>
      <c r="F4" s="32">
        <f t="shared" ref="F4:F12" si="2">E4+D4+$I$11</f>
        <v>71540.76923076922</v>
      </c>
    </row>
    <row r="5" spans="1:9" x14ac:dyDescent="0.25">
      <c r="A5" s="1" t="s">
        <v>5</v>
      </c>
      <c r="B5" s="11">
        <v>13</v>
      </c>
      <c r="C5" s="30">
        <v>2</v>
      </c>
      <c r="D5" s="31">
        <f t="shared" si="0"/>
        <v>56040</v>
      </c>
      <c r="E5" s="29">
        <f t="shared" si="1"/>
        <v>0</v>
      </c>
      <c r="F5" s="32">
        <f t="shared" si="2"/>
        <v>67230</v>
      </c>
    </row>
    <row r="6" spans="1:9" x14ac:dyDescent="0.25">
      <c r="A6" s="1" t="s">
        <v>35</v>
      </c>
      <c r="B6" s="11">
        <v>15</v>
      </c>
      <c r="C6" s="30"/>
      <c r="D6" s="31">
        <f t="shared" si="0"/>
        <v>64661.538461538454</v>
      </c>
      <c r="E6" s="29">
        <f t="shared" si="1"/>
        <v>11495.384615384624</v>
      </c>
      <c r="F6" s="32">
        <f t="shared" si="2"/>
        <v>87346.923076923078</v>
      </c>
    </row>
    <row r="7" spans="1:9" x14ac:dyDescent="0.25">
      <c r="A7" s="1" t="s">
        <v>36</v>
      </c>
      <c r="B7" s="11">
        <v>11</v>
      </c>
      <c r="C7" s="30">
        <v>4</v>
      </c>
      <c r="D7" s="31">
        <f t="shared" si="0"/>
        <v>47418.461538461532</v>
      </c>
      <c r="E7" s="29">
        <f t="shared" si="1"/>
        <v>0</v>
      </c>
      <c r="F7" s="32">
        <f t="shared" si="2"/>
        <v>58608.461538461532</v>
      </c>
    </row>
    <row r="8" spans="1:9" x14ac:dyDescent="0.25">
      <c r="A8" s="1" t="s">
        <v>37</v>
      </c>
      <c r="B8" s="11">
        <v>15</v>
      </c>
      <c r="C8" s="30"/>
      <c r="D8" s="31">
        <f t="shared" si="0"/>
        <v>64661.538461538454</v>
      </c>
      <c r="E8" s="29">
        <f t="shared" si="1"/>
        <v>11495.384615384624</v>
      </c>
      <c r="F8" s="32">
        <f t="shared" si="2"/>
        <v>87346.923076923078</v>
      </c>
    </row>
    <row r="9" spans="1:9" x14ac:dyDescent="0.25">
      <c r="A9" s="1" t="s">
        <v>38</v>
      </c>
      <c r="B9" s="11">
        <v>15</v>
      </c>
      <c r="C9" s="30"/>
      <c r="D9" s="31">
        <f t="shared" si="0"/>
        <v>64661.538461538454</v>
      </c>
      <c r="E9" s="29">
        <f t="shared" si="1"/>
        <v>11495.384615384624</v>
      </c>
      <c r="F9" s="32">
        <f t="shared" si="2"/>
        <v>87346.923076923078</v>
      </c>
    </row>
    <row r="10" spans="1:9" x14ac:dyDescent="0.25">
      <c r="A10" s="1" t="s">
        <v>16</v>
      </c>
      <c r="B10" s="11">
        <v>13</v>
      </c>
      <c r="C10" s="30">
        <v>2</v>
      </c>
      <c r="D10" s="31">
        <f t="shared" si="0"/>
        <v>56040</v>
      </c>
      <c r="E10" s="29">
        <f t="shared" si="1"/>
        <v>0</v>
      </c>
      <c r="F10" s="32">
        <f t="shared" si="2"/>
        <v>67230</v>
      </c>
      <c r="I10" s="31">
        <v>111900</v>
      </c>
    </row>
    <row r="11" spans="1:9" x14ac:dyDescent="0.25">
      <c r="A11" s="1" t="s">
        <v>40</v>
      </c>
      <c r="B11" s="11">
        <v>15</v>
      </c>
      <c r="C11" s="30"/>
      <c r="D11" s="31">
        <f t="shared" si="0"/>
        <v>64661.538461538454</v>
      </c>
      <c r="E11" s="29">
        <f t="shared" si="1"/>
        <v>11495.384615384624</v>
      </c>
      <c r="F11" s="32">
        <f t="shared" si="2"/>
        <v>87346.923076923078</v>
      </c>
      <c r="I11" s="5">
        <f>I10/10</f>
        <v>11190</v>
      </c>
    </row>
    <row r="12" spans="1:9" x14ac:dyDescent="0.25">
      <c r="A12" s="1" t="s">
        <v>11</v>
      </c>
      <c r="B12" s="11">
        <v>15</v>
      </c>
      <c r="C12" s="30"/>
      <c r="D12" s="31">
        <f t="shared" si="0"/>
        <v>64661.538461538454</v>
      </c>
      <c r="E12" s="29">
        <f t="shared" si="1"/>
        <v>11495.384615384624</v>
      </c>
      <c r="F12" s="32">
        <f t="shared" si="2"/>
        <v>87346.923076923078</v>
      </c>
    </row>
    <row r="13" spans="1:9" x14ac:dyDescent="0.25">
      <c r="A13" s="1" t="s">
        <v>45</v>
      </c>
      <c r="B13" s="11">
        <v>12</v>
      </c>
      <c r="C13" s="30">
        <v>3</v>
      </c>
      <c r="D13" s="31">
        <f t="shared" ref="D13" si="3">B13*$C$24</f>
        <v>51729.230769230766</v>
      </c>
      <c r="E13" s="29">
        <f t="shared" ref="E13" si="4">IF(B13=15,(C$28),0)</f>
        <v>0</v>
      </c>
      <c r="F13" s="32">
        <f t="shared" ref="F13:F14" si="5">E13+D13</f>
        <v>51729.230769230766</v>
      </c>
      <c r="H13" t="s">
        <v>34</v>
      </c>
    </row>
    <row r="14" spans="1:9" x14ac:dyDescent="0.25">
      <c r="A14" s="1" t="s">
        <v>44</v>
      </c>
      <c r="B14" s="11">
        <v>11</v>
      </c>
      <c r="C14" s="30">
        <v>4</v>
      </c>
      <c r="D14" s="31">
        <f>B14*$C$24</f>
        <v>47418.461538461532</v>
      </c>
      <c r="E14" s="29">
        <f>IF(B14=15,(C$28),0)</f>
        <v>0</v>
      </c>
      <c r="F14" s="32">
        <f t="shared" si="5"/>
        <v>47418.461538461532</v>
      </c>
    </row>
    <row r="15" spans="1:9" x14ac:dyDescent="0.25">
      <c r="A15" s="7" t="s">
        <v>43</v>
      </c>
      <c r="B15" s="11">
        <v>15</v>
      </c>
      <c r="C15" s="30"/>
      <c r="D15" s="31">
        <f>B15*$C$24</f>
        <v>64661.538461538454</v>
      </c>
      <c r="E15" s="29">
        <f>IF(B15=15,(C$28),0)</f>
        <v>11495.384615384624</v>
      </c>
      <c r="F15" s="32">
        <f t="shared" ref="F15" si="6">E15+D15</f>
        <v>76156.923076923078</v>
      </c>
      <c r="G15" s="32">
        <v>56040</v>
      </c>
      <c r="H15" s="3">
        <f>F15-G15</f>
        <v>20116.923076923078</v>
      </c>
    </row>
    <row r="16" spans="1:9" x14ac:dyDescent="0.25">
      <c r="D16" s="5"/>
    </row>
    <row r="17" spans="1:9" x14ac:dyDescent="0.25">
      <c r="A17" s="81" t="s">
        <v>31</v>
      </c>
      <c r="B17" s="82"/>
      <c r="C17" s="83"/>
      <c r="D17" s="14">
        <f>SUM(D3:D15)</f>
        <v>771627.69230769225</v>
      </c>
      <c r="E17" s="17">
        <f>SUM(E3:E15)</f>
        <v>80467.69230769237</v>
      </c>
      <c r="F17" s="17">
        <f>SUM(F3:F15)</f>
        <v>963995.38461538462</v>
      </c>
    </row>
    <row r="21" spans="1:9" x14ac:dyDescent="0.25">
      <c r="A21" s="85" t="s">
        <v>14</v>
      </c>
      <c r="B21" s="86"/>
      <c r="C21" s="11">
        <v>13</v>
      </c>
    </row>
    <row r="22" spans="1:9" x14ac:dyDescent="0.25">
      <c r="A22" s="85" t="s">
        <v>4</v>
      </c>
      <c r="B22" s="86"/>
      <c r="C22" s="19">
        <v>840600</v>
      </c>
      <c r="F22" s="20"/>
    </row>
    <row r="23" spans="1:9" x14ac:dyDescent="0.25">
      <c r="A23" s="85" t="s">
        <v>2</v>
      </c>
      <c r="B23" s="86"/>
      <c r="C23" s="10">
        <f>C22/C21</f>
        <v>64661.538461538461</v>
      </c>
      <c r="I23" s="3"/>
    </row>
    <row r="24" spans="1:9" x14ac:dyDescent="0.25">
      <c r="A24" s="85" t="s">
        <v>3</v>
      </c>
      <c r="B24" s="86"/>
      <c r="C24" s="9">
        <f>C23/15</f>
        <v>4310.7692307692305</v>
      </c>
    </row>
    <row r="25" spans="1:9" x14ac:dyDescent="0.25">
      <c r="A25" s="85" t="s">
        <v>25</v>
      </c>
      <c r="B25" s="86"/>
      <c r="C25" s="18">
        <f>C22-D17</f>
        <v>68972.307692307746</v>
      </c>
      <c r="E25" s="20"/>
    </row>
    <row r="26" spans="1:9" x14ac:dyDescent="0.25">
      <c r="A26" s="87"/>
      <c r="B26" s="87"/>
      <c r="C26" s="87"/>
    </row>
    <row r="27" spans="1:9" x14ac:dyDescent="0.25">
      <c r="A27" s="80" t="s">
        <v>26</v>
      </c>
      <c r="B27" s="80"/>
      <c r="C27" s="13">
        <v>6</v>
      </c>
      <c r="E27" s="3"/>
    </row>
    <row r="28" spans="1:9" x14ac:dyDescent="0.25">
      <c r="A28" s="80" t="s">
        <v>30</v>
      </c>
      <c r="B28" s="80"/>
      <c r="C28" s="4">
        <f>C25/C27</f>
        <v>11495.384615384624</v>
      </c>
    </row>
  </sheetData>
  <mergeCells count="10">
    <mergeCell ref="A25:B25"/>
    <mergeCell ref="A26:C26"/>
    <mergeCell ref="A27:B27"/>
    <mergeCell ref="A28:B28"/>
    <mergeCell ref="A1:F1"/>
    <mergeCell ref="A17:C17"/>
    <mergeCell ref="A21:B21"/>
    <mergeCell ref="A22:B22"/>
    <mergeCell ref="A23:B23"/>
    <mergeCell ref="A24:B24"/>
  </mergeCells>
  <conditionalFormatting sqref="E15 E3:E12">
    <cfRule type="containsText" dxfId="29" priority="6" operator="containsText" text="0">
      <formula>NOT(ISERROR(SEARCH("0",E3)))</formula>
    </cfRule>
  </conditionalFormatting>
  <conditionalFormatting sqref="C15 C3:C12">
    <cfRule type="cellIs" dxfId="28" priority="5" operator="equal">
      <formula>0</formula>
    </cfRule>
  </conditionalFormatting>
  <conditionalFormatting sqref="E13">
    <cfRule type="containsText" dxfId="27" priority="4" operator="containsText" text="0">
      <formula>NOT(ISERROR(SEARCH("0",E13)))</formula>
    </cfRule>
  </conditionalFormatting>
  <conditionalFormatting sqref="C13">
    <cfRule type="cellIs" dxfId="26" priority="3" operator="equal">
      <formula>0</formula>
    </cfRule>
  </conditionalFormatting>
  <conditionalFormatting sqref="E14">
    <cfRule type="containsText" dxfId="25" priority="2" operator="containsText" text="0">
      <formula>NOT(ISERROR(SEARCH("0",E14)))</formula>
    </cfRule>
  </conditionalFormatting>
  <conditionalFormatting sqref="C14">
    <cfRule type="cellIs" dxfId="24" priority="1" operator="equal">
      <formula>0</formula>
    </cfRule>
  </conditionalFormatting>
  <pageMargins left="0.7" right="0.7" top="0.75" bottom="0.75" header="0.3" footer="0.3"/>
  <pageSetup paperSize="258" orientation="landscape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7" sqref="F7"/>
    </sheetView>
  </sheetViews>
  <sheetFormatPr defaultRowHeight="15" x14ac:dyDescent="0.25"/>
  <cols>
    <col min="1" max="1" width="21.5703125" bestFit="1" customWidth="1"/>
    <col min="2" max="2" width="17.42578125" bestFit="1" customWidth="1"/>
    <col min="3" max="3" width="15.5703125" bestFit="1" customWidth="1"/>
    <col min="4" max="4" width="15.42578125" bestFit="1" customWidth="1"/>
    <col min="5" max="5" width="13.5703125" bestFit="1" customWidth="1"/>
    <col min="6" max="6" width="14.42578125" bestFit="1" customWidth="1"/>
    <col min="7" max="7" width="11.5703125" bestFit="1" customWidth="1"/>
    <col min="8" max="8" width="12.5703125" bestFit="1" customWidth="1"/>
    <col min="9" max="9" width="10.5703125" bestFit="1" customWidth="1"/>
  </cols>
  <sheetData>
    <row r="1" spans="1:9" x14ac:dyDescent="0.25">
      <c r="A1" s="88" t="s">
        <v>33</v>
      </c>
      <c r="B1" s="88"/>
      <c r="C1" s="88"/>
      <c r="D1" s="88"/>
      <c r="E1" s="88"/>
      <c r="F1" s="88"/>
    </row>
    <row r="2" spans="1:9" x14ac:dyDescent="0.25">
      <c r="A2" s="33" t="s">
        <v>29</v>
      </c>
      <c r="B2" s="33" t="s">
        <v>0</v>
      </c>
      <c r="C2" s="33" t="s">
        <v>1</v>
      </c>
      <c r="D2" s="33" t="s">
        <v>13</v>
      </c>
      <c r="E2" s="33" t="s">
        <v>27</v>
      </c>
      <c r="F2" s="33" t="s">
        <v>28</v>
      </c>
    </row>
    <row r="3" spans="1:9" x14ac:dyDescent="0.25">
      <c r="A3" s="1" t="s">
        <v>7</v>
      </c>
      <c r="B3" s="11">
        <v>14</v>
      </c>
      <c r="C3" s="30">
        <f>16-B3</f>
        <v>2</v>
      </c>
      <c r="D3" s="31">
        <f t="shared" ref="D3:D13" si="0">B3*$C$22</f>
        <v>69359.393939393951</v>
      </c>
      <c r="E3" s="4">
        <f t="shared" ref="E3:E13" si="1">IF(B3=15,(C$26),0)</f>
        <v>0</v>
      </c>
      <c r="F3" s="32" t="e">
        <f>E3+D3+#REF!</f>
        <v>#REF!</v>
      </c>
    </row>
    <row r="4" spans="1:9" x14ac:dyDescent="0.25">
      <c r="A4" s="1" t="s">
        <v>5</v>
      </c>
      <c r="B4" s="11">
        <v>14</v>
      </c>
      <c r="C4" s="30">
        <f t="shared" ref="C4:C13" si="2">16-B4</f>
        <v>2</v>
      </c>
      <c r="D4" s="31">
        <f t="shared" si="0"/>
        <v>69359.393939393951</v>
      </c>
      <c r="E4" s="4">
        <f t="shared" si="1"/>
        <v>0</v>
      </c>
      <c r="F4" s="32" t="e">
        <f>E4+D4+#REF!</f>
        <v>#REF!</v>
      </c>
    </row>
    <row r="5" spans="1:9" x14ac:dyDescent="0.25">
      <c r="A5" s="1" t="s">
        <v>35</v>
      </c>
      <c r="B5" s="11">
        <v>16</v>
      </c>
      <c r="C5" s="30">
        <f t="shared" si="2"/>
        <v>0</v>
      </c>
      <c r="D5" s="31">
        <f t="shared" si="0"/>
        <v>79267.878787878799</v>
      </c>
      <c r="E5" s="29">
        <f t="shared" si="1"/>
        <v>0</v>
      </c>
      <c r="F5" s="32" t="e">
        <f>E5+D5+#REF!</f>
        <v>#REF!</v>
      </c>
    </row>
    <row r="6" spans="1:9" x14ac:dyDescent="0.25">
      <c r="A6" s="1" t="s">
        <v>36</v>
      </c>
      <c r="B6" s="11">
        <v>16</v>
      </c>
      <c r="C6" s="30">
        <f t="shared" si="2"/>
        <v>0</v>
      </c>
      <c r="D6" s="31">
        <f t="shared" si="0"/>
        <v>79267.878787878799</v>
      </c>
      <c r="E6" s="29">
        <f t="shared" si="1"/>
        <v>0</v>
      </c>
      <c r="F6" s="32" t="e">
        <f>E6+D6+#REF!</f>
        <v>#REF!</v>
      </c>
    </row>
    <row r="7" spans="1:9" x14ac:dyDescent="0.25">
      <c r="A7" s="1" t="s">
        <v>37</v>
      </c>
      <c r="B7" s="11">
        <v>16</v>
      </c>
      <c r="C7" s="30">
        <f t="shared" si="2"/>
        <v>0</v>
      </c>
      <c r="D7" s="31">
        <f t="shared" si="0"/>
        <v>79267.878787878799</v>
      </c>
      <c r="E7" s="29">
        <f t="shared" si="1"/>
        <v>0</v>
      </c>
      <c r="F7" s="32" t="e">
        <f>E7+D7+#REF!</f>
        <v>#REF!</v>
      </c>
      <c r="G7" s="3" t="e">
        <f>F7-F5</f>
        <v>#REF!</v>
      </c>
    </row>
    <row r="8" spans="1:9" x14ac:dyDescent="0.25">
      <c r="A8" s="1" t="s">
        <v>38</v>
      </c>
      <c r="B8" s="11">
        <v>16</v>
      </c>
      <c r="C8" s="30">
        <f t="shared" si="2"/>
        <v>0</v>
      </c>
      <c r="D8" s="31">
        <f t="shared" si="0"/>
        <v>79267.878787878799</v>
      </c>
      <c r="E8" s="4">
        <f t="shared" si="1"/>
        <v>0</v>
      </c>
      <c r="F8" s="32" t="e">
        <f>E8+D8+#REF!</f>
        <v>#REF!</v>
      </c>
    </row>
    <row r="9" spans="1:9" x14ac:dyDescent="0.25">
      <c r="A9" s="1" t="s">
        <v>16</v>
      </c>
      <c r="B9" s="11">
        <v>16</v>
      </c>
      <c r="C9" s="30">
        <f t="shared" si="2"/>
        <v>0</v>
      </c>
      <c r="D9" s="31">
        <f t="shared" si="0"/>
        <v>79267.878787878799</v>
      </c>
      <c r="E9" s="29">
        <f t="shared" si="1"/>
        <v>0</v>
      </c>
      <c r="F9" s="32" t="e">
        <f>E9+D9+#REF!</f>
        <v>#REF!</v>
      </c>
      <c r="I9" s="31"/>
    </row>
    <row r="10" spans="1:9" x14ac:dyDescent="0.25">
      <c r="A10" s="1" t="s">
        <v>46</v>
      </c>
      <c r="B10" s="11">
        <v>13</v>
      </c>
      <c r="C10" s="30">
        <f t="shared" si="2"/>
        <v>3</v>
      </c>
      <c r="D10" s="31">
        <f t="shared" si="0"/>
        <v>64405.151515151527</v>
      </c>
      <c r="E10" s="29">
        <f t="shared" si="1"/>
        <v>0</v>
      </c>
      <c r="F10" s="32" t="e">
        <f>E10+D10+#REF!</f>
        <v>#REF!</v>
      </c>
    </row>
    <row r="11" spans="1:9" x14ac:dyDescent="0.25">
      <c r="A11" s="1" t="s">
        <v>45</v>
      </c>
      <c r="B11" s="11">
        <v>14</v>
      </c>
      <c r="C11" s="30">
        <f t="shared" si="2"/>
        <v>2</v>
      </c>
      <c r="D11" s="31">
        <f t="shared" si="0"/>
        <v>69359.393939393951</v>
      </c>
      <c r="E11" s="4">
        <f t="shared" si="1"/>
        <v>0</v>
      </c>
      <c r="F11" s="32">
        <f>E11+D11-17300</f>
        <v>52059.393939393951</v>
      </c>
      <c r="H11" t="s">
        <v>34</v>
      </c>
    </row>
    <row r="12" spans="1:9" x14ac:dyDescent="0.25">
      <c r="A12" s="1" t="s">
        <v>44</v>
      </c>
      <c r="B12" s="11">
        <v>16</v>
      </c>
      <c r="C12" s="30">
        <f t="shared" si="2"/>
        <v>0</v>
      </c>
      <c r="D12" s="31">
        <f t="shared" si="0"/>
        <v>79267.878787878799</v>
      </c>
      <c r="E12" s="4">
        <f t="shared" si="1"/>
        <v>0</v>
      </c>
      <c r="F12" s="32">
        <f t="shared" ref="F12" si="3">E12+D12</f>
        <v>79267.878787878799</v>
      </c>
    </row>
    <row r="13" spans="1:9" x14ac:dyDescent="0.25">
      <c r="A13" s="7" t="s">
        <v>43</v>
      </c>
      <c r="B13" s="11">
        <v>16</v>
      </c>
      <c r="C13" s="30">
        <f t="shared" si="2"/>
        <v>0</v>
      </c>
      <c r="D13" s="31">
        <f t="shared" si="0"/>
        <v>79267.878787878799</v>
      </c>
      <c r="E13" s="4">
        <f t="shared" si="1"/>
        <v>0</v>
      </c>
      <c r="F13" s="32">
        <f>E13+D13+20100-3000</f>
        <v>96367.878787878799</v>
      </c>
      <c r="H13" s="3"/>
    </row>
    <row r="14" spans="1:9" x14ac:dyDescent="0.25">
      <c r="D14" s="5"/>
    </row>
    <row r="15" spans="1:9" x14ac:dyDescent="0.25">
      <c r="A15" s="81" t="s">
        <v>31</v>
      </c>
      <c r="B15" s="82"/>
      <c r="C15" s="83"/>
      <c r="D15" s="14">
        <f>SUM(D3:D13)</f>
        <v>827358.48484848486</v>
      </c>
      <c r="E15" s="17">
        <f>SUM(E3:E13)</f>
        <v>0</v>
      </c>
      <c r="F15" s="17" t="e">
        <f>SUM(F3:F13)</f>
        <v>#REF!</v>
      </c>
    </row>
    <row r="19" spans="1:9" x14ac:dyDescent="0.25">
      <c r="A19" s="85" t="s">
        <v>14</v>
      </c>
      <c r="B19" s="86"/>
      <c r="C19" s="11">
        <v>11</v>
      </c>
    </row>
    <row r="20" spans="1:9" x14ac:dyDescent="0.25">
      <c r="A20" s="85" t="s">
        <v>4</v>
      </c>
      <c r="B20" s="86"/>
      <c r="C20" s="19">
        <v>817450</v>
      </c>
      <c r="F20" s="20"/>
    </row>
    <row r="21" spans="1:9" x14ac:dyDescent="0.25">
      <c r="A21" s="85" t="s">
        <v>2</v>
      </c>
      <c r="B21" s="86"/>
      <c r="C21" s="10">
        <f>C20/C19</f>
        <v>74313.636363636368</v>
      </c>
      <c r="I21" s="3"/>
    </row>
    <row r="22" spans="1:9" x14ac:dyDescent="0.25">
      <c r="A22" s="85" t="s">
        <v>3</v>
      </c>
      <c r="B22" s="86"/>
      <c r="C22" s="9">
        <f>C21/15</f>
        <v>4954.2424242424249</v>
      </c>
    </row>
    <row r="23" spans="1:9" x14ac:dyDescent="0.25">
      <c r="A23" s="85" t="s">
        <v>25</v>
      </c>
      <c r="B23" s="86"/>
      <c r="C23" s="18">
        <f>C20-D15</f>
        <v>-9908.4848484848626</v>
      </c>
      <c r="E23" s="20"/>
    </row>
    <row r="24" spans="1:9" x14ac:dyDescent="0.25">
      <c r="A24" s="87"/>
      <c r="B24" s="87"/>
      <c r="C24" s="87"/>
    </row>
    <row r="25" spans="1:9" x14ac:dyDescent="0.25">
      <c r="A25" s="80" t="s">
        <v>47</v>
      </c>
      <c r="B25" s="80"/>
      <c r="C25" s="13">
        <v>7</v>
      </c>
      <c r="E25" s="3"/>
    </row>
    <row r="26" spans="1:9" x14ac:dyDescent="0.25">
      <c r="A26" s="80" t="s">
        <v>48</v>
      </c>
      <c r="B26" s="80"/>
      <c r="C26" s="4">
        <f>C23/C25</f>
        <v>-1415.4978354978375</v>
      </c>
    </row>
  </sheetData>
  <mergeCells count="10">
    <mergeCell ref="A23:B23"/>
    <mergeCell ref="A24:C24"/>
    <mergeCell ref="A25:B25"/>
    <mergeCell ref="A26:B26"/>
    <mergeCell ref="A1:F1"/>
    <mergeCell ref="A15:C15"/>
    <mergeCell ref="A19:B19"/>
    <mergeCell ref="A20:B20"/>
    <mergeCell ref="A21:B21"/>
    <mergeCell ref="A22:B22"/>
  </mergeCells>
  <conditionalFormatting sqref="C3:C13">
    <cfRule type="cellIs" dxfId="23" priority="8" operator="equal">
      <formula>0</formula>
    </cfRule>
  </conditionalFormatting>
  <conditionalFormatting sqref="E5:E7 E9:E10">
    <cfRule type="containsText" dxfId="22" priority="3" operator="containsText" text="0">
      <formula>NOT(ISERROR(SEARCH("0",E5)))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E6" sqref="E6"/>
    </sheetView>
  </sheetViews>
  <sheetFormatPr defaultRowHeight="15" x14ac:dyDescent="0.25"/>
  <cols>
    <col min="1" max="1" width="21.5703125" bestFit="1" customWidth="1"/>
    <col min="2" max="2" width="17.42578125" bestFit="1" customWidth="1"/>
    <col min="3" max="3" width="15.5703125" bestFit="1" customWidth="1"/>
    <col min="4" max="4" width="15.42578125" bestFit="1" customWidth="1"/>
    <col min="5" max="5" width="13.5703125" bestFit="1" customWidth="1"/>
    <col min="6" max="6" width="14.42578125" bestFit="1" customWidth="1"/>
    <col min="8" max="8" width="10" bestFit="1" customWidth="1"/>
  </cols>
  <sheetData>
    <row r="1" spans="1:14" x14ac:dyDescent="0.25">
      <c r="A1" s="89" t="s">
        <v>32</v>
      </c>
      <c r="B1" s="89"/>
      <c r="C1" s="89"/>
      <c r="D1" s="89"/>
      <c r="E1" s="89"/>
      <c r="F1" s="89"/>
    </row>
    <row r="2" spans="1:14" x14ac:dyDescent="0.25">
      <c r="A2" s="34" t="s">
        <v>29</v>
      </c>
      <c r="B2" s="34" t="s">
        <v>0</v>
      </c>
      <c r="C2" s="34" t="s">
        <v>1</v>
      </c>
      <c r="D2" s="34" t="s">
        <v>13</v>
      </c>
      <c r="E2" s="34" t="s">
        <v>27</v>
      </c>
      <c r="F2" s="34" t="s">
        <v>28</v>
      </c>
    </row>
    <row r="3" spans="1:14" x14ac:dyDescent="0.25">
      <c r="A3" s="1" t="s">
        <v>7</v>
      </c>
      <c r="B3" s="11">
        <v>14</v>
      </c>
      <c r="C3" s="30">
        <f>16-B3</f>
        <v>2</v>
      </c>
      <c r="D3" s="4">
        <f t="shared" ref="D3:D13" si="0">B3*C$22</f>
        <v>49696.340909090912</v>
      </c>
      <c r="E3" s="16">
        <f t="shared" ref="E3:E13" si="1">IF(B3=16,(C$26),0)</f>
        <v>0</v>
      </c>
      <c r="F3" s="4">
        <f>D3+E3+19270</f>
        <v>68966.340909090912</v>
      </c>
      <c r="G3" s="5"/>
    </row>
    <row r="4" spans="1:14" x14ac:dyDescent="0.25">
      <c r="A4" s="1" t="s">
        <v>5</v>
      </c>
      <c r="B4" s="11">
        <v>14</v>
      </c>
      <c r="C4" s="30">
        <f t="shared" ref="C4:C11" si="2">16-B4</f>
        <v>2</v>
      </c>
      <c r="D4" s="4">
        <f t="shared" si="0"/>
        <v>49696.340909090912</v>
      </c>
      <c r="E4" s="16"/>
      <c r="F4" s="4">
        <f t="shared" ref="F4:F12" si="3">D4+E4+19270</f>
        <v>68966.340909090912</v>
      </c>
    </row>
    <row r="5" spans="1:14" x14ac:dyDescent="0.25">
      <c r="A5" s="1" t="s">
        <v>35</v>
      </c>
      <c r="B5" s="11">
        <v>16</v>
      </c>
      <c r="C5" s="30">
        <f t="shared" si="2"/>
        <v>0</v>
      </c>
      <c r="D5" s="4">
        <f t="shared" si="0"/>
        <v>56795.818181818184</v>
      </c>
      <c r="E5" s="4"/>
      <c r="F5" s="4">
        <f t="shared" si="3"/>
        <v>76065.818181818177</v>
      </c>
    </row>
    <row r="6" spans="1:14" x14ac:dyDescent="0.25">
      <c r="A6" s="1" t="s">
        <v>36</v>
      </c>
      <c r="B6" s="11">
        <v>16</v>
      </c>
      <c r="C6" s="30">
        <f t="shared" si="2"/>
        <v>0</v>
      </c>
      <c r="D6" s="4">
        <f t="shared" si="0"/>
        <v>56795.818181818184</v>
      </c>
      <c r="E6" s="4">
        <f t="shared" si="1"/>
        <v>4563.9496753246722</v>
      </c>
      <c r="F6" s="4">
        <f t="shared" si="3"/>
        <v>80629.767857142855</v>
      </c>
    </row>
    <row r="7" spans="1:14" x14ac:dyDescent="0.25">
      <c r="A7" s="1" t="s">
        <v>49</v>
      </c>
      <c r="B7" s="11">
        <v>16</v>
      </c>
      <c r="C7" s="30">
        <f t="shared" si="2"/>
        <v>0</v>
      </c>
      <c r="D7" s="4">
        <f t="shared" si="0"/>
        <v>56795.818181818184</v>
      </c>
      <c r="E7" s="4">
        <f t="shared" si="1"/>
        <v>4563.9496753246722</v>
      </c>
      <c r="F7" s="4">
        <f t="shared" si="3"/>
        <v>80629.767857142855</v>
      </c>
    </row>
    <row r="8" spans="1:14" x14ac:dyDescent="0.25">
      <c r="A8" s="1" t="s">
        <v>38</v>
      </c>
      <c r="B8" s="11">
        <v>16</v>
      </c>
      <c r="C8" s="30">
        <f t="shared" si="2"/>
        <v>0</v>
      </c>
      <c r="D8" s="4">
        <f t="shared" si="0"/>
        <v>56795.818181818184</v>
      </c>
      <c r="E8" s="4">
        <f t="shared" si="1"/>
        <v>4563.9496753246722</v>
      </c>
      <c r="F8" s="4">
        <f t="shared" si="3"/>
        <v>80629.767857142855</v>
      </c>
    </row>
    <row r="9" spans="1:14" x14ac:dyDescent="0.25">
      <c r="A9" s="1" t="s">
        <v>16</v>
      </c>
      <c r="B9" s="11">
        <v>16</v>
      </c>
      <c r="C9" s="30">
        <f t="shared" si="2"/>
        <v>0</v>
      </c>
      <c r="D9" s="4">
        <f t="shared" si="0"/>
        <v>56795.818181818184</v>
      </c>
      <c r="E9" s="4">
        <f t="shared" si="1"/>
        <v>4563.9496753246722</v>
      </c>
      <c r="F9" s="4">
        <f t="shared" si="3"/>
        <v>80629.767857142855</v>
      </c>
    </row>
    <row r="10" spans="1:14" x14ac:dyDescent="0.25">
      <c r="A10" s="1" t="s">
        <v>45</v>
      </c>
      <c r="B10" s="11">
        <v>14</v>
      </c>
      <c r="C10" s="30">
        <f t="shared" si="2"/>
        <v>2</v>
      </c>
      <c r="D10" s="4">
        <f t="shared" si="0"/>
        <v>49696.340909090912</v>
      </c>
      <c r="E10" s="16">
        <f t="shared" si="1"/>
        <v>0</v>
      </c>
      <c r="F10" s="4">
        <f t="shared" si="3"/>
        <v>68966.340909090912</v>
      </c>
      <c r="N10" t="s">
        <v>34</v>
      </c>
    </row>
    <row r="11" spans="1:14" x14ac:dyDescent="0.25">
      <c r="A11" s="1" t="s">
        <v>44</v>
      </c>
      <c r="B11" s="11">
        <v>16</v>
      </c>
      <c r="C11" s="30">
        <f t="shared" si="2"/>
        <v>0</v>
      </c>
      <c r="D11" s="4">
        <f t="shared" si="0"/>
        <v>56795.818181818184</v>
      </c>
      <c r="E11" s="4">
        <f t="shared" si="1"/>
        <v>4563.9496753246722</v>
      </c>
      <c r="F11" s="4">
        <f t="shared" si="3"/>
        <v>80629.767857142855</v>
      </c>
    </row>
    <row r="12" spans="1:14" x14ac:dyDescent="0.25">
      <c r="A12" s="7" t="s">
        <v>43</v>
      </c>
      <c r="B12" s="11">
        <v>16</v>
      </c>
      <c r="C12" s="30">
        <f t="shared" ref="C12:C13" si="4">16-B12</f>
        <v>0</v>
      </c>
      <c r="D12" s="4">
        <f t="shared" si="0"/>
        <v>56795.818181818184</v>
      </c>
      <c r="E12" s="4">
        <f t="shared" si="1"/>
        <v>4563.9496753246722</v>
      </c>
      <c r="F12" s="4">
        <f t="shared" si="3"/>
        <v>80629.767857142855</v>
      </c>
    </row>
    <row r="13" spans="1:14" x14ac:dyDescent="0.25">
      <c r="A13" s="1" t="s">
        <v>46</v>
      </c>
      <c r="B13" s="11">
        <v>13</v>
      </c>
      <c r="C13" s="30">
        <f t="shared" si="4"/>
        <v>3</v>
      </c>
      <c r="D13" s="4">
        <f t="shared" si="0"/>
        <v>46146.602272727272</v>
      </c>
      <c r="E13" s="16">
        <f t="shared" si="1"/>
        <v>0</v>
      </c>
      <c r="F13" s="4">
        <f t="shared" ref="F13" si="5">D13+E13</f>
        <v>46146.602272727272</v>
      </c>
    </row>
    <row r="14" spans="1:14" x14ac:dyDescent="0.25">
      <c r="D14" s="5"/>
    </row>
    <row r="15" spans="1:14" x14ac:dyDescent="0.25">
      <c r="A15" s="81" t="s">
        <v>31</v>
      </c>
      <c r="B15" s="82"/>
      <c r="C15" s="83"/>
      <c r="D15" s="14">
        <f>SUM(D3:D13)</f>
        <v>592806.35227272729</v>
      </c>
      <c r="E15" s="17">
        <f>SUM(E3:E13)</f>
        <v>27383.698051948031</v>
      </c>
      <c r="F15" s="17">
        <f>SUM(F3:F13)</f>
        <v>812890.05032467528</v>
      </c>
    </row>
    <row r="16" spans="1:14" x14ac:dyDescent="0.25">
      <c r="H16" s="5"/>
    </row>
    <row r="17" spans="1:8" x14ac:dyDescent="0.25">
      <c r="H17" s="5"/>
    </row>
    <row r="19" spans="1:8" x14ac:dyDescent="0.25">
      <c r="A19" s="85" t="s">
        <v>14</v>
      </c>
      <c r="B19" s="86"/>
      <c r="C19" s="11">
        <v>11</v>
      </c>
    </row>
    <row r="20" spans="1:8" x14ac:dyDescent="0.25">
      <c r="A20" s="85" t="s">
        <v>4</v>
      </c>
      <c r="B20" s="86"/>
      <c r="C20" s="19">
        <v>624754</v>
      </c>
      <c r="F20" s="20"/>
    </row>
    <row r="21" spans="1:8" x14ac:dyDescent="0.25">
      <c r="A21" s="85" t="s">
        <v>2</v>
      </c>
      <c r="B21" s="86"/>
      <c r="C21" s="10">
        <f>C20/C19</f>
        <v>56795.818181818184</v>
      </c>
    </row>
    <row r="22" spans="1:8" x14ac:dyDescent="0.25">
      <c r="A22" s="85" t="s">
        <v>3</v>
      </c>
      <c r="B22" s="86"/>
      <c r="C22" s="9">
        <f>C21/16</f>
        <v>3549.7386363636365</v>
      </c>
    </row>
    <row r="23" spans="1:8" x14ac:dyDescent="0.25">
      <c r="A23" s="85" t="s">
        <v>25</v>
      </c>
      <c r="B23" s="86"/>
      <c r="C23" s="18">
        <f>C20-D15</f>
        <v>31947.647727272706</v>
      </c>
      <c r="E23" s="20"/>
    </row>
    <row r="24" spans="1:8" x14ac:dyDescent="0.25">
      <c r="A24" s="87"/>
      <c r="B24" s="87"/>
      <c r="C24" s="87"/>
    </row>
    <row r="25" spans="1:8" x14ac:dyDescent="0.25">
      <c r="A25" s="80" t="s">
        <v>26</v>
      </c>
      <c r="B25" s="80"/>
      <c r="C25" s="13">
        <v>7</v>
      </c>
      <c r="E25" s="3"/>
    </row>
    <row r="26" spans="1:8" x14ac:dyDescent="0.25">
      <c r="A26" s="80" t="s">
        <v>30</v>
      </c>
      <c r="B26" s="80"/>
      <c r="C26" s="4">
        <f>C23/C25</f>
        <v>4563.9496753246722</v>
      </c>
    </row>
  </sheetData>
  <mergeCells count="10">
    <mergeCell ref="A19:B19"/>
    <mergeCell ref="A20:B20"/>
    <mergeCell ref="A15:C15"/>
    <mergeCell ref="A21:B21"/>
    <mergeCell ref="A1:F1"/>
    <mergeCell ref="A22:B22"/>
    <mergeCell ref="A23:B23"/>
    <mergeCell ref="A24:C24"/>
    <mergeCell ref="A25:B25"/>
    <mergeCell ref="A26:B26"/>
  </mergeCells>
  <conditionalFormatting sqref="E10">
    <cfRule type="containsText" dxfId="21" priority="4" operator="containsText" text="0">
      <formula>NOT(ISERROR(SEARCH("0",E10)))</formula>
    </cfRule>
  </conditionalFormatting>
  <conditionalFormatting sqref="C3:C12">
    <cfRule type="cellIs" dxfId="20" priority="3" operator="equal">
      <formula>0</formula>
    </cfRule>
  </conditionalFormatting>
  <conditionalFormatting sqref="E13">
    <cfRule type="containsText" dxfId="19" priority="2" operator="containsText" text="0">
      <formula>NOT(ISERROR(SEARCH("0",E13)))</formula>
    </cfRule>
  </conditionalFormatting>
  <conditionalFormatting sqref="E3:E4">
    <cfRule type="containsText" dxfId="18" priority="6" operator="containsText" text="0">
      <formula>NOT(ISERROR(SEARCH("0",E3)))</formula>
    </cfRule>
  </conditionalFormatting>
  <conditionalFormatting sqref="C13">
    <cfRule type="cellIs" dxfId="17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 MODIFICA</vt:lpstr>
      <vt:lpstr>PROPINAS DEL 6-10 AL 21-10-2015</vt:lpstr>
      <vt:lpstr>PROPINAS DEL 21-10 AL 4-11-2015</vt:lpstr>
      <vt:lpstr>PROPINAS DEL 5 AL 19 DE NOV</vt:lpstr>
      <vt:lpstr>PROPINAS DEL 20 AL 4 DE DIC</vt:lpstr>
      <vt:lpstr>PROPINAS DEL 5-20 DIC</vt:lpstr>
      <vt:lpstr>PROPINAS DEL 21-03 DIC</vt:lpstr>
      <vt:lpstr>Propinas del 04 al 18 de enero </vt:lpstr>
      <vt:lpstr>propinas del 19-01 al 04-02</vt:lpstr>
      <vt:lpstr>Propinas del 05 al 18 Febrero</vt:lpstr>
      <vt:lpstr>Propinas del 19 al 04 de Marzo</vt:lpstr>
      <vt:lpstr>Propinas del 5 al 19 de Marzo</vt:lpstr>
      <vt:lpstr>Propinas del 19 al 3 de Abril</vt:lpstr>
      <vt:lpstr>Propinas del 4 al 20 de Abril</vt:lpstr>
      <vt:lpstr>propinas del 21 al 5 de mayo</vt:lpstr>
      <vt:lpstr>Propinas del 6 al 19 de mayo</vt:lpstr>
      <vt:lpstr>Propinas del 19 al 2 de junio</vt:lpstr>
      <vt:lpstr>Propinas del 3 al 14 de junio</vt:lpstr>
      <vt:lpstr>propinas del 15 al 3 de julio</vt:lpstr>
      <vt:lpstr>propinas del 4 al 20 de julio </vt:lpstr>
      <vt:lpstr>propinas del 20 al 4 de ago 16</vt:lpstr>
    </vt:vector>
  </TitlesOfParts>
  <Company>Sun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 Dispute Room</dc:creator>
  <cp:lastModifiedBy>Karen Perez</cp:lastModifiedBy>
  <dcterms:created xsi:type="dcterms:W3CDTF">2015-06-06T06:38:01Z</dcterms:created>
  <dcterms:modified xsi:type="dcterms:W3CDTF">2016-08-06T09:02:21Z</dcterms:modified>
</cp:coreProperties>
</file>