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victo\Downloads\"/>
    </mc:Choice>
  </mc:AlternateContent>
  <xr:revisionPtr revIDLastSave="0" documentId="8_{A7BD899F-214D-44A7-9559-D3311CA5AF4D}" xr6:coauthVersionLast="47" xr6:coauthVersionMax="47" xr10:uidLastSave="{00000000-0000-0000-0000-000000000000}"/>
  <bookViews>
    <workbookView xWindow="10" yWindow="10" windowWidth="19180" windowHeight="10060" firstSheet="7" activeTab="12" xr2:uid="{0ED5CE13-7773-45CD-B832-DB7DC062E37C}"/>
  </bookViews>
  <sheets>
    <sheet name="Balance sheet" sheetId="3" r:id="rId1"/>
    <sheet name="Income Statement" sheetId="2" r:id="rId2"/>
    <sheet name="Key stats" sheetId="1" r:id="rId3"/>
    <sheet name="Market data" sheetId="9" r:id="rId4"/>
    <sheet name="Segments" sheetId="5" r:id="rId5"/>
    <sheet name="Cash Flow" sheetId="4" r:id="rId6"/>
    <sheet name="Forecasted IS" sheetId="11" r:id="rId7"/>
    <sheet name="Forecasted BS" sheetId="10" r:id="rId8"/>
    <sheet name="FCF" sheetId="8" r:id="rId9"/>
    <sheet name="WACC" sheetId="12" r:id="rId10"/>
    <sheet name="TV and stock price" sheetId="14" r:id="rId11"/>
    <sheet name="sensitivity analysis" sheetId="16" r:id="rId12"/>
    <sheet name="Comparables" sheetId="17" r:id="rId13"/>
    <sheet name="Project" sheetId="19"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7" i="14" l="1"/>
  <c r="G25" i="14"/>
  <c r="G23" i="14"/>
  <c r="G13" i="14"/>
  <c r="G18" i="12"/>
  <c r="I5" i="19"/>
  <c r="R9" i="11"/>
  <c r="R10" i="11"/>
  <c r="R8" i="11"/>
  <c r="R7" i="11"/>
  <c r="R6" i="11"/>
  <c r="R5" i="11"/>
  <c r="I118" i="17"/>
  <c r="Q70" i="10"/>
  <c r="P70" i="10"/>
  <c r="O70" i="10"/>
  <c r="N70" i="10"/>
  <c r="M70" i="10"/>
  <c r="O59" i="10"/>
  <c r="N59" i="10"/>
  <c r="M59" i="10"/>
  <c r="G44" i="10"/>
  <c r="J19" i="11"/>
  <c r="J34" i="10"/>
  <c r="G13" i="8" l="1"/>
  <c r="H13" i="8"/>
  <c r="I13" i="8"/>
  <c r="J13" i="8"/>
  <c r="K13" i="8"/>
  <c r="L13" i="8"/>
  <c r="Q8" i="19" l="1"/>
  <c r="O8" i="11"/>
  <c r="H93" i="17"/>
  <c r="H116" i="17"/>
  <c r="H94" i="10"/>
  <c r="I94" i="10"/>
  <c r="J94" i="10"/>
  <c r="K94" i="10"/>
  <c r="L94" i="10"/>
  <c r="G94" i="10"/>
  <c r="H91" i="10"/>
  <c r="I91" i="10"/>
  <c r="J91" i="10"/>
  <c r="K91" i="10"/>
  <c r="L91" i="10"/>
  <c r="G91" i="10"/>
  <c r="G101" i="10"/>
  <c r="O97" i="10"/>
  <c r="H88" i="10"/>
  <c r="I88" i="10"/>
  <c r="J88" i="10"/>
  <c r="K88" i="10"/>
  <c r="L88" i="10"/>
  <c r="G88" i="10"/>
  <c r="M20" i="11"/>
  <c r="N20" i="11"/>
  <c r="K20" i="11"/>
  <c r="J35" i="14"/>
  <c r="J105" i="17"/>
  <c r="J110" i="17" s="1"/>
  <c r="G76" i="17"/>
  <c r="H76" i="17"/>
  <c r="I76" i="17"/>
  <c r="J76" i="17"/>
  <c r="M76" i="17"/>
  <c r="O76" i="17"/>
  <c r="Q72" i="17"/>
  <c r="J82" i="17" s="1"/>
  <c r="J87" i="17" s="1"/>
  <c r="L63" i="17"/>
  <c r="N63" i="17"/>
  <c r="N76" i="17" s="1"/>
  <c r="P63" i="17"/>
  <c r="P76" i="17" s="1"/>
  <c r="L64" i="17"/>
  <c r="N64" i="17"/>
  <c r="P64" i="17"/>
  <c r="L65" i="17"/>
  <c r="N65" i="17"/>
  <c r="P65" i="17"/>
  <c r="L66" i="17"/>
  <c r="N66" i="17"/>
  <c r="P66" i="17"/>
  <c r="G56" i="17"/>
  <c r="G60" i="17" s="1"/>
  <c r="G69" i="17" s="1"/>
  <c r="H56" i="17"/>
  <c r="H60" i="17" s="1"/>
  <c r="H70" i="17" s="1"/>
  <c r="I56" i="17"/>
  <c r="I60" i="17" s="1"/>
  <c r="I70" i="17" s="1"/>
  <c r="J56" i="17"/>
  <c r="J60" i="17" s="1"/>
  <c r="J70" i="17" s="1"/>
  <c r="K56" i="17"/>
  <c r="K60" i="17" s="1"/>
  <c r="K70" i="17" s="1"/>
  <c r="L56" i="17"/>
  <c r="M56" i="17"/>
  <c r="M60" i="17" s="1"/>
  <c r="O56" i="17"/>
  <c r="P56" i="17" s="1"/>
  <c r="L58" i="17"/>
  <c r="N58" i="17"/>
  <c r="P58" i="17"/>
  <c r="L59" i="17"/>
  <c r="N59" i="17"/>
  <c r="P59" i="17"/>
  <c r="J22" i="14"/>
  <c r="G21" i="14"/>
  <c r="J21" i="14"/>
  <c r="G20" i="14"/>
  <c r="J20" i="14"/>
  <c r="J23" i="14" s="1"/>
  <c r="J25" i="14" s="1"/>
  <c r="I97" i="10"/>
  <c r="J97" i="10"/>
  <c r="K97" i="10"/>
  <c r="L97" i="10"/>
  <c r="H97" i="10"/>
  <c r="N97" i="10" s="1"/>
  <c r="G19" i="8"/>
  <c r="I19" i="8"/>
  <c r="G20" i="10"/>
  <c r="Q11" i="19" l="1"/>
  <c r="Q12" i="19"/>
  <c r="Q10" i="19"/>
  <c r="Q9" i="19"/>
  <c r="Q76" i="17"/>
  <c r="N56" i="17"/>
  <c r="O60" i="17"/>
  <c r="P60" i="17" s="1"/>
  <c r="P71" i="17" s="1"/>
  <c r="G70" i="17"/>
  <c r="H69" i="17"/>
  <c r="L60" i="17"/>
  <c r="L71" i="17" s="1"/>
  <c r="K71" i="17"/>
  <c r="J71" i="17"/>
  <c r="I71" i="17"/>
  <c r="H71" i="17"/>
  <c r="G71" i="17"/>
  <c r="M97" i="10"/>
  <c r="Q97" i="10"/>
  <c r="P97" i="10"/>
  <c r="N60" i="17"/>
  <c r="M71" i="17"/>
  <c r="M70" i="17"/>
  <c r="M69" i="17"/>
  <c r="P70" i="17"/>
  <c r="P69" i="17"/>
  <c r="O69" i="17"/>
  <c r="O70" i="17"/>
  <c r="K69" i="17"/>
  <c r="J69" i="17"/>
  <c r="I69" i="17"/>
  <c r="O71" i="17"/>
  <c r="L69" i="17" l="1"/>
  <c r="L70" i="17"/>
  <c r="M52" i="10"/>
  <c r="N52" i="10" s="1"/>
  <c r="O52" i="10" s="1"/>
  <c r="P52" i="10" s="1"/>
  <c r="Q52" i="10" s="1"/>
  <c r="N71" i="17"/>
  <c r="N70" i="17"/>
  <c r="N69" i="17"/>
  <c r="G105" i="17" s="1"/>
  <c r="G110" i="17" s="1"/>
  <c r="Q70" i="17" l="1"/>
  <c r="H82" i="17" s="1"/>
  <c r="H87" i="17" s="1"/>
  <c r="Q69" i="17"/>
  <c r="G82" i="17" s="1"/>
  <c r="G87" i="17" s="1"/>
  <c r="I105" i="17"/>
  <c r="I110" i="17" s="1"/>
  <c r="Q71" i="17"/>
  <c r="H105" i="17"/>
  <c r="H110" i="17" s="1"/>
  <c r="G114" i="17" s="1"/>
  <c r="I82" i="17" l="1"/>
  <c r="I87" i="17" s="1"/>
  <c r="G91" i="17" s="1"/>
  <c r="I95" i="17" s="1"/>
  <c r="L98" i="17" s="1"/>
  <c r="H33" i="11" l="1"/>
  <c r="I33" i="11"/>
  <c r="J33" i="11"/>
  <c r="K33" i="11"/>
  <c r="L33" i="11"/>
  <c r="G33" i="11"/>
  <c r="G70" i="10" s="1"/>
  <c r="R26" i="17"/>
  <c r="J36" i="17" s="1"/>
  <c r="J40" i="17" s="1"/>
  <c r="N130" i="17"/>
  <c r="N132" i="17"/>
  <c r="N133" i="17"/>
  <c r="N135" i="17"/>
  <c r="N136" i="17"/>
  <c r="N138" i="17"/>
  <c r="N127" i="17"/>
  <c r="N128" i="17"/>
  <c r="N126" i="17"/>
  <c r="Q30" i="17"/>
  <c r="Q9" i="17"/>
  <c r="Q13" i="17" s="1"/>
  <c r="Q25" i="17" s="1"/>
  <c r="G2" i="19"/>
  <c r="G3" i="19"/>
  <c r="I2" i="19"/>
  <c r="G4" i="19"/>
  <c r="G5" i="19"/>
  <c r="G6" i="19"/>
  <c r="G7" i="19"/>
  <c r="I7" i="19"/>
  <c r="I14" i="19"/>
  <c r="G16" i="19"/>
  <c r="J19" i="8"/>
  <c r="G12" i="12"/>
  <c r="G13" i="12"/>
  <c r="G5" i="12"/>
  <c r="G24" i="14"/>
  <c r="G22" i="14"/>
  <c r="H45" i="17"/>
  <c r="L3" i="11"/>
  <c r="G5" i="11"/>
  <c r="H5" i="11"/>
  <c r="I5" i="11"/>
  <c r="J5" i="11"/>
  <c r="K5" i="11"/>
  <c r="L5" i="11"/>
  <c r="G30" i="17"/>
  <c r="H30" i="17"/>
  <c r="I30" i="17"/>
  <c r="J30" i="17"/>
  <c r="M30" i="17"/>
  <c r="O30" i="17"/>
  <c r="L16" i="17"/>
  <c r="N16" i="17"/>
  <c r="N30" i="17" s="1"/>
  <c r="P16" i="17"/>
  <c r="P30" i="17" s="1"/>
  <c r="L17" i="17"/>
  <c r="N17" i="17"/>
  <c r="P17" i="17"/>
  <c r="L18" i="17"/>
  <c r="N18" i="17"/>
  <c r="P18" i="17"/>
  <c r="L19" i="17"/>
  <c r="N19" i="17"/>
  <c r="P19" i="17"/>
  <c r="G9" i="17"/>
  <c r="G13" i="17" s="1"/>
  <c r="H9" i="17"/>
  <c r="H13" i="17" s="1"/>
  <c r="I9" i="17"/>
  <c r="I13" i="17" s="1"/>
  <c r="J9" i="17"/>
  <c r="J13" i="17" s="1"/>
  <c r="K9" i="17"/>
  <c r="L9" i="17" s="1"/>
  <c r="M9" i="17"/>
  <c r="M13" i="17" s="1"/>
  <c r="N13" i="17" s="1"/>
  <c r="O9" i="17"/>
  <c r="P9" i="17" s="1"/>
  <c r="L11" i="17"/>
  <c r="N11" i="17"/>
  <c r="P11" i="17"/>
  <c r="L12" i="17"/>
  <c r="N12" i="17"/>
  <c r="P12" i="17"/>
  <c r="L32" i="11"/>
  <c r="L64" i="10" s="1"/>
  <c r="K32" i="11"/>
  <c r="K78" i="10" s="1"/>
  <c r="J32" i="11"/>
  <c r="J64" i="10" s="1"/>
  <c r="I32" i="11"/>
  <c r="I78" i="10" s="1"/>
  <c r="H32" i="11"/>
  <c r="H69" i="10" s="1"/>
  <c r="G32" i="11"/>
  <c r="G43" i="11" s="1"/>
  <c r="I9" i="19" l="1"/>
  <c r="G8" i="19"/>
  <c r="G11" i="19" s="1"/>
  <c r="G19" i="19" s="1"/>
  <c r="I17" i="19" s="1"/>
  <c r="K17" i="19" s="1"/>
  <c r="K13" i="17"/>
  <c r="K25" i="17" s="1"/>
  <c r="M5" i="11"/>
  <c r="H70" i="10"/>
  <c r="J70" i="10"/>
  <c r="K70" i="10"/>
  <c r="I70" i="10"/>
  <c r="L70" i="10"/>
  <c r="M33" i="11"/>
  <c r="N33" i="11" s="1"/>
  <c r="O33" i="11" s="1"/>
  <c r="K96" i="10"/>
  <c r="L72" i="10"/>
  <c r="H101" i="10"/>
  <c r="G72" i="10"/>
  <c r="G96" i="10"/>
  <c r="L96" i="10"/>
  <c r="K72" i="10"/>
  <c r="J96" i="10"/>
  <c r="J72" i="10"/>
  <c r="I96" i="10"/>
  <c r="I72" i="10"/>
  <c r="H96" i="10"/>
  <c r="H72" i="10"/>
  <c r="L101" i="10"/>
  <c r="K101" i="10"/>
  <c r="J101" i="10"/>
  <c r="I101" i="10"/>
  <c r="J73" i="10"/>
  <c r="H78" i="10"/>
  <c r="J78" i="10"/>
  <c r="I64" i="10"/>
  <c r="L69" i="10"/>
  <c r="I69" i="10"/>
  <c r="K73" i="10"/>
  <c r="L80" i="10"/>
  <c r="H80" i="10"/>
  <c r="Q24" i="17"/>
  <c r="Q23" i="17"/>
  <c r="R30" i="17"/>
  <c r="O13" i="17"/>
  <c r="O25" i="17" s="1"/>
  <c r="N9" i="17"/>
  <c r="I24" i="17"/>
  <c r="I23" i="17"/>
  <c r="J25" i="17"/>
  <c r="J23" i="17"/>
  <c r="K23" i="17"/>
  <c r="G35" i="14"/>
  <c r="K64" i="10"/>
  <c r="M32" i="11"/>
  <c r="G73" i="10"/>
  <c r="H64" i="10"/>
  <c r="L73" i="10"/>
  <c r="G80" i="10"/>
  <c r="G69" i="10"/>
  <c r="G64" i="10"/>
  <c r="K69" i="10"/>
  <c r="I73" i="10"/>
  <c r="L78" i="10"/>
  <c r="J80" i="10"/>
  <c r="G78" i="10"/>
  <c r="K80" i="10"/>
  <c r="J69" i="10"/>
  <c r="H73" i="10"/>
  <c r="I80" i="10"/>
  <c r="G25" i="17"/>
  <c r="G24" i="17"/>
  <c r="J24" i="17"/>
  <c r="N5" i="11"/>
  <c r="O5" i="11" s="1"/>
  <c r="H24" i="17"/>
  <c r="H25" i="17"/>
  <c r="H23" i="17"/>
  <c r="N24" i="17"/>
  <c r="N25" i="17"/>
  <c r="N23" i="17"/>
  <c r="M24" i="17"/>
  <c r="I25" i="17"/>
  <c r="G23" i="17"/>
  <c r="M25" i="17"/>
  <c r="M23" i="17"/>
  <c r="P6" i="19" l="1"/>
  <c r="Q6" i="19" s="1"/>
  <c r="R6" i="19" s="1"/>
  <c r="O6" i="19"/>
  <c r="Q14" i="19" s="1"/>
  <c r="P17" i="19" s="1"/>
  <c r="L13" i="17"/>
  <c r="L23" i="17" s="1"/>
  <c r="K24" i="17"/>
  <c r="M72" i="10"/>
  <c r="N72" i="10" s="1"/>
  <c r="O72" i="10" s="1"/>
  <c r="M96" i="10"/>
  <c r="M101" i="10"/>
  <c r="N101" i="10" s="1"/>
  <c r="O101" i="10" s="1"/>
  <c r="P72" i="10"/>
  <c r="Q72" i="10" s="1"/>
  <c r="P33" i="11"/>
  <c r="Q33" i="11" s="1"/>
  <c r="P5" i="11"/>
  <c r="N32" i="11"/>
  <c r="O32" i="11" s="1"/>
  <c r="P32" i="11" s="1"/>
  <c r="P13" i="17"/>
  <c r="O23" i="17"/>
  <c r="O24" i="17"/>
  <c r="L25" i="17" l="1"/>
  <c r="L24" i="17"/>
  <c r="M22" i="10"/>
  <c r="M21" i="8"/>
  <c r="N96" i="10"/>
  <c r="P101" i="10"/>
  <c r="Q101" i="10" s="1"/>
  <c r="Q21" i="8" s="1"/>
  <c r="M20" i="10"/>
  <c r="M13" i="8" s="1"/>
  <c r="M51" i="10"/>
  <c r="Q32" i="11"/>
  <c r="R23" i="17"/>
  <c r="P23" i="17"/>
  <c r="P25" i="17"/>
  <c r="R25" i="17" s="1"/>
  <c r="I36" i="17" s="1"/>
  <c r="I40" i="17" s="1"/>
  <c r="P24" i="17"/>
  <c r="M9" i="11"/>
  <c r="M7" i="11"/>
  <c r="N7" i="11" s="1"/>
  <c r="J75" i="10"/>
  <c r="K75" i="10"/>
  <c r="L75" i="10"/>
  <c r="L57" i="10"/>
  <c r="H25" i="10"/>
  <c r="M8" i="11"/>
  <c r="N8" i="11" s="1"/>
  <c r="H19" i="8"/>
  <c r="K19" i="8"/>
  <c r="L19" i="8"/>
  <c r="L45" i="11"/>
  <c r="K45" i="11"/>
  <c r="I45" i="11"/>
  <c r="H45" i="11"/>
  <c r="G45" i="11"/>
  <c r="L44" i="11"/>
  <c r="K44" i="11"/>
  <c r="J44" i="11"/>
  <c r="I44" i="11"/>
  <c r="H44" i="11"/>
  <c r="G44" i="11"/>
  <c r="L43" i="11"/>
  <c r="K43" i="11"/>
  <c r="J43" i="11"/>
  <c r="I43" i="11"/>
  <c r="H43" i="11"/>
  <c r="O96" i="10" l="1"/>
  <c r="N20" i="10"/>
  <c r="N13" i="8" s="1"/>
  <c r="R24" i="17"/>
  <c r="H36" i="17" s="1"/>
  <c r="H40" i="17" s="1"/>
  <c r="G36" i="17"/>
  <c r="G40" i="17" s="1"/>
  <c r="M44" i="11"/>
  <c r="N44" i="11" s="1"/>
  <c r="M43" i="11"/>
  <c r="N43" i="11" s="1"/>
  <c r="O43" i="11" s="1"/>
  <c r="M45" i="11"/>
  <c r="N45" i="11" s="1"/>
  <c r="P8" i="11"/>
  <c r="Q8" i="11" s="1"/>
  <c r="N9" i="11"/>
  <c r="M75" i="10"/>
  <c r="Q75" i="10"/>
  <c r="P75" i="10"/>
  <c r="O75" i="10"/>
  <c r="N75" i="10"/>
  <c r="O7" i="11"/>
  <c r="P7" i="11" s="1"/>
  <c r="P96" i="10" l="1"/>
  <c r="Q96" i="10" s="1"/>
  <c r="O20" i="10"/>
  <c r="O13" i="8" s="1"/>
  <c r="O45" i="11"/>
  <c r="P45" i="11" s="1"/>
  <c r="Q45" i="11" s="1"/>
  <c r="G43" i="17"/>
  <c r="I47" i="17" s="1"/>
  <c r="P43" i="11"/>
  <c r="Q43" i="11" s="1"/>
  <c r="M23" i="11"/>
  <c r="Q7" i="11"/>
  <c r="O9" i="11"/>
  <c r="P9" i="11" s="1"/>
  <c r="O44" i="11"/>
  <c r="P44" i="11" s="1"/>
  <c r="Q20" i="10" l="1"/>
  <c r="Q13" i="8" s="1"/>
  <c r="P20" i="10"/>
  <c r="P13" i="8" s="1"/>
  <c r="Q9" i="11"/>
  <c r="Q44" i="11"/>
  <c r="M25" i="10" l="1"/>
  <c r="N25" i="10"/>
  <c r="O25" i="10"/>
  <c r="P25" i="10"/>
  <c r="Q25" i="10"/>
  <c r="G25" i="10"/>
  <c r="G4" i="12"/>
  <c r="J28" i="8"/>
  <c r="K28" i="8"/>
  <c r="P28" i="8" s="1"/>
  <c r="L28" i="8"/>
  <c r="G21" i="8"/>
  <c r="H21" i="8"/>
  <c r="I21" i="8"/>
  <c r="J21" i="8"/>
  <c r="K21" i="8"/>
  <c r="L21" i="8"/>
  <c r="G6" i="11"/>
  <c r="H6" i="11"/>
  <c r="I6" i="11"/>
  <c r="J6" i="11"/>
  <c r="K6" i="11"/>
  <c r="G18" i="11"/>
  <c r="H18" i="11"/>
  <c r="I18" i="11"/>
  <c r="J18" i="11"/>
  <c r="K18" i="11"/>
  <c r="G24" i="11"/>
  <c r="H24" i="11"/>
  <c r="I24" i="11"/>
  <c r="J24" i="11"/>
  <c r="K24" i="11"/>
  <c r="G28" i="11"/>
  <c r="G8" i="8" s="1"/>
  <c r="H28" i="11"/>
  <c r="H8" i="8" s="1"/>
  <c r="I28" i="11"/>
  <c r="I8" i="8" s="1"/>
  <c r="J28" i="11"/>
  <c r="J8" i="8" s="1"/>
  <c r="K28" i="11"/>
  <c r="K8" i="8" s="1"/>
  <c r="J50" i="10"/>
  <c r="H51" i="10"/>
  <c r="H20" i="8" s="1"/>
  <c r="H50" i="10"/>
  <c r="G50" i="10"/>
  <c r="K50" i="10"/>
  <c r="K95" i="10" s="1"/>
  <c r="G49" i="10"/>
  <c r="H49" i="10"/>
  <c r="I49" i="10"/>
  <c r="J49" i="10"/>
  <c r="K49" i="10"/>
  <c r="I50" i="10"/>
  <c r="I95" i="10" s="1"/>
  <c r="G51" i="10"/>
  <c r="G20" i="8" s="1"/>
  <c r="I51" i="10"/>
  <c r="I20" i="8" s="1"/>
  <c r="J51" i="10"/>
  <c r="J20" i="8" s="1"/>
  <c r="K51" i="10"/>
  <c r="K20" i="8" s="1"/>
  <c r="G42" i="10"/>
  <c r="H42" i="10"/>
  <c r="I42" i="10"/>
  <c r="J42" i="10"/>
  <c r="K42" i="10"/>
  <c r="G43" i="10"/>
  <c r="H43" i="10"/>
  <c r="I43" i="10"/>
  <c r="J43" i="10"/>
  <c r="K43" i="10"/>
  <c r="H44" i="10"/>
  <c r="H89" i="10" s="1"/>
  <c r="I44" i="10"/>
  <c r="I89" i="10" s="1"/>
  <c r="J44" i="10"/>
  <c r="K44" i="10"/>
  <c r="K89" i="10" s="1"/>
  <c r="G45" i="10"/>
  <c r="H45" i="10"/>
  <c r="I45" i="10"/>
  <c r="J45" i="10"/>
  <c r="K45" i="10"/>
  <c r="L34" i="10"/>
  <c r="K34" i="10"/>
  <c r="I34" i="10"/>
  <c r="H34" i="10"/>
  <c r="G34" i="10"/>
  <c r="G33" i="10"/>
  <c r="H33" i="10"/>
  <c r="I33" i="10"/>
  <c r="J33" i="10"/>
  <c r="K33" i="10"/>
  <c r="G35" i="10"/>
  <c r="H35" i="10"/>
  <c r="I35" i="10"/>
  <c r="J35" i="10"/>
  <c r="K35" i="10"/>
  <c r="G37" i="10"/>
  <c r="H37" i="10"/>
  <c r="I37" i="10"/>
  <c r="J37" i="10"/>
  <c r="K37" i="10"/>
  <c r="L33" i="10"/>
  <c r="G32" i="10"/>
  <c r="H32" i="10"/>
  <c r="I32" i="10"/>
  <c r="J32" i="10"/>
  <c r="K32" i="10"/>
  <c r="K25" i="10"/>
  <c r="J25" i="10"/>
  <c r="I25" i="10"/>
  <c r="H21" i="10"/>
  <c r="G82" i="10" l="1"/>
  <c r="H95" i="10"/>
  <c r="J95" i="10"/>
  <c r="J17" i="8"/>
  <c r="J89" i="10"/>
  <c r="I11" i="8"/>
  <c r="J11" i="8"/>
  <c r="H11" i="8"/>
  <c r="G11" i="8"/>
  <c r="K11" i="8"/>
  <c r="G17" i="8"/>
  <c r="G6" i="12"/>
  <c r="G7" i="12"/>
  <c r="Q28" i="8"/>
  <c r="H10" i="11"/>
  <c r="H37" i="11" s="1"/>
  <c r="K10" i="11"/>
  <c r="K37" i="11" s="1"/>
  <c r="G21" i="10"/>
  <c r="H71" i="10" s="1"/>
  <c r="I21" i="10"/>
  <c r="I71" i="10" s="1"/>
  <c r="J21" i="10"/>
  <c r="J71" i="10" s="1"/>
  <c r="K21" i="10"/>
  <c r="K71" i="10" s="1"/>
  <c r="K36" i="10"/>
  <c r="K31" i="10" s="1"/>
  <c r="J36" i="10"/>
  <c r="J31" i="10" s="1"/>
  <c r="I36" i="10"/>
  <c r="I31" i="10" s="1"/>
  <c r="H36" i="10"/>
  <c r="H31" i="10" s="1"/>
  <c r="G36" i="10"/>
  <c r="G31" i="10" s="1"/>
  <c r="H48" i="10"/>
  <c r="G10" i="11"/>
  <c r="I10" i="11"/>
  <c r="I37" i="11" s="1"/>
  <c r="J10" i="11"/>
  <c r="J37" i="11" s="1"/>
  <c r="G41" i="10"/>
  <c r="G48" i="10"/>
  <c r="I17" i="8"/>
  <c r="K48" i="10"/>
  <c r="K17" i="8"/>
  <c r="H17" i="8"/>
  <c r="J48" i="10"/>
  <c r="H14" i="11"/>
  <c r="G14" i="11"/>
  <c r="K14" i="11"/>
  <c r="J14" i="11"/>
  <c r="I14" i="11"/>
  <c r="I48" i="10"/>
  <c r="H41" i="10"/>
  <c r="K41" i="10"/>
  <c r="J41" i="10"/>
  <c r="I41" i="10"/>
  <c r="G41" i="11" l="1"/>
  <c r="G37" i="11"/>
  <c r="H82" i="10"/>
  <c r="J82" i="10"/>
  <c r="K41" i="11"/>
  <c r="H41" i="11"/>
  <c r="I5" i="8"/>
  <c r="G39" i="11"/>
  <c r="J41" i="11"/>
  <c r="I41" i="11"/>
  <c r="K16" i="11"/>
  <c r="K19" i="11" s="1"/>
  <c r="K7" i="8" s="1"/>
  <c r="K9" i="8" s="1"/>
  <c r="H90" i="10"/>
  <c r="H39" i="11"/>
  <c r="H66" i="10"/>
  <c r="H5" i="8"/>
  <c r="I16" i="11"/>
  <c r="I19" i="11" s="1"/>
  <c r="I7" i="8" s="1"/>
  <c r="I9" i="8" s="1"/>
  <c r="H81" i="10"/>
  <c r="K5" i="8"/>
  <c r="H75" i="10"/>
  <c r="K38" i="11"/>
  <c r="K82" i="10"/>
  <c r="I38" i="11"/>
  <c r="J16" i="11"/>
  <c r="J7" i="8" s="1"/>
  <c r="J9" i="8" s="1"/>
  <c r="I39" i="11"/>
  <c r="H16" i="11"/>
  <c r="H19" i="11" s="1"/>
  <c r="H7" i="8" s="1"/>
  <c r="H9" i="8" s="1"/>
  <c r="K39" i="11"/>
  <c r="H61" i="10"/>
  <c r="H84" i="10"/>
  <c r="G38" i="11"/>
  <c r="H38" i="11"/>
  <c r="H99" i="10"/>
  <c r="H62" i="10"/>
  <c r="H83" i="10"/>
  <c r="H59" i="10"/>
  <c r="G16" i="11"/>
  <c r="G19" i="11" s="1"/>
  <c r="G26" i="11" s="1"/>
  <c r="G47" i="11" s="1"/>
  <c r="H60" i="10"/>
  <c r="H79" i="10"/>
  <c r="H87" i="10"/>
  <c r="J5" i="8"/>
  <c r="J84" i="10"/>
  <c r="J83" i="10"/>
  <c r="J63" i="10"/>
  <c r="J81" i="10"/>
  <c r="J62" i="10"/>
  <c r="J61" i="10"/>
  <c r="J90" i="10"/>
  <c r="J59" i="10"/>
  <c r="J66" i="10"/>
  <c r="J99" i="10"/>
  <c r="J79" i="10"/>
  <c r="J87" i="10"/>
  <c r="J60" i="10"/>
  <c r="J39" i="11"/>
  <c r="J38" i="11"/>
  <c r="I75" i="10"/>
  <c r="I87" i="10"/>
  <c r="I59" i="10"/>
  <c r="I66" i="10"/>
  <c r="I79" i="10"/>
  <c r="I84" i="10"/>
  <c r="I90" i="10"/>
  <c r="I62" i="10"/>
  <c r="I83" i="10"/>
  <c r="I61" i="10"/>
  <c r="I60" i="10"/>
  <c r="I81" i="10"/>
  <c r="I82" i="10"/>
  <c r="G99" i="10"/>
  <c r="G61" i="10"/>
  <c r="G84" i="10"/>
  <c r="G90" i="10"/>
  <c r="G79" i="10"/>
  <c r="G60" i="10"/>
  <c r="G83" i="10"/>
  <c r="G66" i="10"/>
  <c r="G81" i="10"/>
  <c r="G59" i="10"/>
  <c r="G75" i="10"/>
  <c r="G87" i="10"/>
  <c r="G62" i="10"/>
  <c r="G5" i="8"/>
  <c r="K90" i="10"/>
  <c r="K84" i="10"/>
  <c r="K61" i="10"/>
  <c r="K83" i="10"/>
  <c r="K81" i="10"/>
  <c r="K66" i="10"/>
  <c r="K99" i="10"/>
  <c r="K87" i="10"/>
  <c r="K79" i="10"/>
  <c r="K63" i="10"/>
  <c r="K60" i="10"/>
  <c r="K62" i="10"/>
  <c r="K59" i="10"/>
  <c r="H28" i="10"/>
  <c r="K28" i="10"/>
  <c r="J28" i="10"/>
  <c r="I28" i="10"/>
  <c r="G28" i="10"/>
  <c r="N99" i="10" l="1"/>
  <c r="O99" i="10"/>
  <c r="P99" i="10"/>
  <c r="Q99" i="10"/>
  <c r="M99" i="10"/>
  <c r="H26" i="11"/>
  <c r="H47" i="11" s="1"/>
  <c r="K26" i="11"/>
  <c r="K47" i="11" s="1"/>
  <c r="H20" i="11"/>
  <c r="J26" i="11"/>
  <c r="J47" i="11" s="1"/>
  <c r="M47" i="11" s="1"/>
  <c r="I20" i="11"/>
  <c r="J20" i="11"/>
  <c r="I26" i="11"/>
  <c r="I47" i="11" s="1"/>
  <c r="G20" i="11"/>
  <c r="G7" i="8"/>
  <c r="G9" i="8" s="1"/>
  <c r="G29" i="11"/>
  <c r="G30" i="11"/>
  <c r="K30" i="11" l="1"/>
  <c r="J29" i="11"/>
  <c r="H29" i="11"/>
  <c r="H30" i="11"/>
  <c r="K29" i="11"/>
  <c r="I30" i="11"/>
  <c r="J30" i="11"/>
  <c r="I29" i="11"/>
  <c r="K23" i="10"/>
  <c r="J23" i="10"/>
  <c r="I23" i="10"/>
  <c r="H23" i="10"/>
  <c r="G23" i="10"/>
  <c r="K20" i="10"/>
  <c r="J20" i="10"/>
  <c r="I20" i="10"/>
  <c r="H20" i="10"/>
  <c r="K19" i="10"/>
  <c r="J19" i="10"/>
  <c r="I19" i="10"/>
  <c r="H19" i="10"/>
  <c r="G19" i="10"/>
  <c r="K15" i="10"/>
  <c r="J15" i="10"/>
  <c r="I15" i="10"/>
  <c r="H15" i="10"/>
  <c r="G15" i="10"/>
  <c r="K14" i="10"/>
  <c r="J14" i="10"/>
  <c r="J65" i="10" s="1"/>
  <c r="I14" i="10"/>
  <c r="I65" i="10" s="1"/>
  <c r="H14" i="10"/>
  <c r="G14" i="10"/>
  <c r="K13" i="10"/>
  <c r="J13" i="10"/>
  <c r="I13" i="10"/>
  <c r="H13" i="10"/>
  <c r="G13" i="10"/>
  <c r="K11" i="10"/>
  <c r="J11" i="10"/>
  <c r="I11" i="10"/>
  <c r="H11" i="10"/>
  <c r="G11" i="10"/>
  <c r="K10" i="10"/>
  <c r="J10" i="10"/>
  <c r="I10" i="10"/>
  <c r="H10" i="10"/>
  <c r="G10" i="10"/>
  <c r="G9" i="10"/>
  <c r="H9" i="10"/>
  <c r="I9" i="10"/>
  <c r="J9" i="10"/>
  <c r="K9" i="10"/>
  <c r="G8" i="10"/>
  <c r="H8" i="10"/>
  <c r="I8" i="10"/>
  <c r="J8" i="10"/>
  <c r="K8" i="10"/>
  <c r="K65" i="10" l="1"/>
  <c r="H65" i="10"/>
  <c r="K18" i="10"/>
  <c r="K7" i="10"/>
  <c r="G15" i="8"/>
  <c r="I7" i="10"/>
  <c r="H15" i="8"/>
  <c r="J18" i="10"/>
  <c r="J7" i="10"/>
  <c r="H7" i="10"/>
  <c r="I15" i="8"/>
  <c r="G18" i="10"/>
  <c r="J15" i="8"/>
  <c r="H18" i="10"/>
  <c r="G7" i="10"/>
  <c r="K15" i="8"/>
  <c r="I18" i="10"/>
  <c r="G6" i="14"/>
  <c r="H23" i="8" l="1"/>
  <c r="H5" i="10"/>
  <c r="G23" i="8"/>
  <c r="G5" i="10"/>
  <c r="J5" i="10"/>
  <c r="K23" i="8"/>
  <c r="J23" i="8"/>
  <c r="I5" i="10"/>
  <c r="I23" i="8"/>
  <c r="K5" i="10"/>
  <c r="L45" i="10"/>
  <c r="H24" i="8" l="1"/>
  <c r="H26" i="8" s="1"/>
  <c r="H30" i="8" s="1"/>
  <c r="I24" i="8"/>
  <c r="I26" i="8" s="1"/>
  <c r="I30" i="8" s="1"/>
  <c r="K24" i="8"/>
  <c r="K26" i="8" s="1"/>
  <c r="K30" i="8" s="1"/>
  <c r="J24" i="8"/>
  <c r="J26" i="8" s="1"/>
  <c r="J30" i="8" s="1"/>
  <c r="L50" i="10"/>
  <c r="L44" i="10"/>
  <c r="L11" i="10"/>
  <c r="L89" i="10" l="1"/>
  <c r="L95" i="10"/>
  <c r="L17" i="8"/>
  <c r="L28" i="11"/>
  <c r="L18" i="11"/>
  <c r="L24" i="11"/>
  <c r="L6" i="11"/>
  <c r="L51" i="10"/>
  <c r="L49" i="10"/>
  <c r="L43" i="10"/>
  <c r="L42" i="10"/>
  <c r="L37" i="10"/>
  <c r="L35" i="10"/>
  <c r="L32" i="10"/>
  <c r="M89" i="10" l="1"/>
  <c r="M44" i="10" s="1"/>
  <c r="N44" i="10" s="1"/>
  <c r="O44" i="10" s="1"/>
  <c r="P44" i="10" s="1"/>
  <c r="Q44" i="10" s="1"/>
  <c r="P89" i="10"/>
  <c r="O89" i="10"/>
  <c r="N89" i="10"/>
  <c r="Q89" i="10"/>
  <c r="N95" i="10"/>
  <c r="O95" i="10"/>
  <c r="P95" i="10"/>
  <c r="Q95" i="10"/>
  <c r="M95" i="10"/>
  <c r="M50" i="10" s="1"/>
  <c r="L8" i="8"/>
  <c r="M6" i="11"/>
  <c r="L48" i="10"/>
  <c r="L20" i="8"/>
  <c r="L36" i="10"/>
  <c r="L31" i="10" s="1"/>
  <c r="L11" i="8"/>
  <c r="L10" i="11"/>
  <c r="L37" i="11" s="1"/>
  <c r="L41" i="10"/>
  <c r="L23" i="10"/>
  <c r="L3" i="10"/>
  <c r="L25" i="10"/>
  <c r="L14" i="10"/>
  <c r="L20" i="10"/>
  <c r="L19" i="10"/>
  <c r="L10" i="10"/>
  <c r="L15" i="10"/>
  <c r="L13" i="10"/>
  <c r="L9" i="10"/>
  <c r="L8" i="10"/>
  <c r="H3" i="9"/>
  <c r="I3" i="9" s="1"/>
  <c r="J3" i="9" s="1"/>
  <c r="K3" i="9" s="1"/>
  <c r="L3" i="9" s="1"/>
  <c r="L65" i="10" l="1"/>
  <c r="N50" i="10"/>
  <c r="M17" i="8"/>
  <c r="L82" i="10"/>
  <c r="M82" i="10" s="1"/>
  <c r="N82" i="10" s="1"/>
  <c r="L41" i="11"/>
  <c r="N6" i="11"/>
  <c r="O6" i="11" s="1"/>
  <c r="M10" i="11"/>
  <c r="M73" i="10"/>
  <c r="M88" i="10"/>
  <c r="M43" i="10" s="1"/>
  <c r="L63" i="10"/>
  <c r="L87" i="10"/>
  <c r="M80" i="10"/>
  <c r="M34" i="10" s="1"/>
  <c r="L62" i="10"/>
  <c r="L61" i="10"/>
  <c r="L84" i="10"/>
  <c r="M69" i="10"/>
  <c r="M19" i="10" s="1"/>
  <c r="L59" i="10"/>
  <c r="L79" i="10"/>
  <c r="L60" i="10"/>
  <c r="M60" i="10" s="1"/>
  <c r="L90" i="10"/>
  <c r="L83" i="10"/>
  <c r="M83" i="10" s="1"/>
  <c r="L66" i="10"/>
  <c r="M66" i="10" s="1"/>
  <c r="M94" i="10"/>
  <c r="M49" i="10" s="1"/>
  <c r="L81" i="10"/>
  <c r="M81" i="10" s="1"/>
  <c r="L21" i="10"/>
  <c r="L28" i="10"/>
  <c r="L39" i="11"/>
  <c r="L38" i="11"/>
  <c r="L5" i="8"/>
  <c r="L14" i="11"/>
  <c r="L16" i="11" s="1"/>
  <c r="L19" i="11" s="1"/>
  <c r="L7" i="10"/>
  <c r="O82" i="10" l="1"/>
  <c r="M63" i="10"/>
  <c r="O63" i="10"/>
  <c r="N84" i="10"/>
  <c r="P84" i="10"/>
  <c r="O84" i="10"/>
  <c r="Q84" i="10"/>
  <c r="M84" i="10"/>
  <c r="L15" i="8"/>
  <c r="L23" i="8" s="1"/>
  <c r="L71" i="10"/>
  <c r="M36" i="10"/>
  <c r="N17" i="8"/>
  <c r="O50" i="10"/>
  <c r="N65" i="10"/>
  <c r="Q65" i="10"/>
  <c r="O65" i="10"/>
  <c r="P65" i="10"/>
  <c r="M65" i="10"/>
  <c r="M41" i="11"/>
  <c r="N63" i="10"/>
  <c r="P63" i="10"/>
  <c r="Q63" i="10"/>
  <c r="N10" i="11"/>
  <c r="P6" i="11"/>
  <c r="Q6" i="11" s="1"/>
  <c r="N83" i="10"/>
  <c r="M37" i="10"/>
  <c r="M62" i="10"/>
  <c r="M79" i="10"/>
  <c r="M38" i="11"/>
  <c r="N38" i="11" s="1"/>
  <c r="M8" i="10"/>
  <c r="N80" i="10"/>
  <c r="N34" i="10" s="1"/>
  <c r="M78" i="10"/>
  <c r="M32" i="10" s="1"/>
  <c r="M64" i="10"/>
  <c r="M90" i="10"/>
  <c r="N69" i="10"/>
  <c r="N19" i="10" s="1"/>
  <c r="M87" i="10"/>
  <c r="O10" i="11"/>
  <c r="M39" i="11"/>
  <c r="N39" i="11" s="1"/>
  <c r="M37" i="11"/>
  <c r="N81" i="10"/>
  <c r="M35" i="10"/>
  <c r="N94" i="10"/>
  <c r="N49" i="10" s="1"/>
  <c r="M61" i="10"/>
  <c r="N61" i="10" s="1"/>
  <c r="N88" i="10"/>
  <c r="N43" i="10" s="1"/>
  <c r="M5" i="8"/>
  <c r="N66" i="10"/>
  <c r="M15" i="10"/>
  <c r="M91" i="10"/>
  <c r="M46" i="10" s="1"/>
  <c r="N73" i="10"/>
  <c r="M23" i="10"/>
  <c r="L18" i="10"/>
  <c r="L5" i="10" s="1"/>
  <c r="P82" i="10"/>
  <c r="L26" i="11"/>
  <c r="G15" i="12" s="1"/>
  <c r="G16" i="12" s="1"/>
  <c r="L7" i="8"/>
  <c r="L9" i="8" s="1"/>
  <c r="L20" i="11"/>
  <c r="O17" i="8" l="1"/>
  <c r="P50" i="10"/>
  <c r="M13" i="10"/>
  <c r="N13" i="10" s="1"/>
  <c r="O13" i="10" s="1"/>
  <c r="P13" i="10" s="1"/>
  <c r="Q13" i="10" s="1"/>
  <c r="M14" i="10"/>
  <c r="N14" i="10" s="1"/>
  <c r="O14" i="10" s="1"/>
  <c r="P14" i="10" s="1"/>
  <c r="Q14" i="10" s="1"/>
  <c r="N71" i="10"/>
  <c r="P71" i="10"/>
  <c r="O71" i="10"/>
  <c r="Q71" i="10"/>
  <c r="M71" i="10"/>
  <c r="M21" i="10" s="1"/>
  <c r="O11" i="11"/>
  <c r="M11" i="11"/>
  <c r="N11" i="11"/>
  <c r="N37" i="11"/>
  <c r="O37" i="11" s="1"/>
  <c r="O22" i="10"/>
  <c r="N22" i="10"/>
  <c r="N19" i="8"/>
  <c r="M19" i="8"/>
  <c r="N41" i="11"/>
  <c r="M18" i="11"/>
  <c r="N51" i="10"/>
  <c r="P7" i="16"/>
  <c r="P9" i="16"/>
  <c r="P11" i="16"/>
  <c r="X11" i="16"/>
  <c r="X7" i="16"/>
  <c r="P10" i="16"/>
  <c r="X10" i="16"/>
  <c r="X8" i="16"/>
  <c r="X9" i="16"/>
  <c r="P8" i="16"/>
  <c r="M20" i="8"/>
  <c r="O36" i="10"/>
  <c r="N5" i="8"/>
  <c r="N36" i="10"/>
  <c r="M12" i="11"/>
  <c r="M13" i="11"/>
  <c r="O51" i="10"/>
  <c r="P10" i="11"/>
  <c r="P36" i="10" s="1"/>
  <c r="O38" i="11"/>
  <c r="P38" i="11" s="1"/>
  <c r="Q38" i="11" s="1"/>
  <c r="O61" i="10"/>
  <c r="O10" i="10" s="1"/>
  <c r="N10" i="10"/>
  <c r="N91" i="10"/>
  <c r="N46" i="10" s="1"/>
  <c r="M38" i="10"/>
  <c r="M31" i="10" s="1"/>
  <c r="G7" i="14" s="1"/>
  <c r="N90" i="10"/>
  <c r="O90" i="10" s="1"/>
  <c r="O45" i="10" s="1"/>
  <c r="M45" i="10"/>
  <c r="O81" i="10"/>
  <c r="N35" i="10"/>
  <c r="O80" i="10"/>
  <c r="O34" i="10" s="1"/>
  <c r="O5" i="8"/>
  <c r="N64" i="10"/>
  <c r="N79" i="10"/>
  <c r="N33" i="10" s="1"/>
  <c r="M33" i="10"/>
  <c r="N60" i="10"/>
  <c r="N9" i="10" s="1"/>
  <c r="M9" i="10"/>
  <c r="O94" i="10"/>
  <c r="O49" i="10" s="1"/>
  <c r="N87" i="10"/>
  <c r="M42" i="10"/>
  <c r="O73" i="10"/>
  <c r="N23" i="10"/>
  <c r="O88" i="10"/>
  <c r="O43" i="10" s="1"/>
  <c r="O83" i="10"/>
  <c r="N37" i="10"/>
  <c r="O39" i="11"/>
  <c r="P39" i="11" s="1"/>
  <c r="N78" i="10"/>
  <c r="N32" i="10" s="1"/>
  <c r="N62" i="10"/>
  <c r="O62" i="10" s="1"/>
  <c r="M11" i="10"/>
  <c r="O69" i="10"/>
  <c r="O19" i="10" s="1"/>
  <c r="O66" i="10"/>
  <c r="N15" i="10"/>
  <c r="M10" i="10"/>
  <c r="M12" i="10"/>
  <c r="Q82" i="10"/>
  <c r="N12" i="11"/>
  <c r="L29" i="11"/>
  <c r="L47" i="11"/>
  <c r="L24" i="8"/>
  <c r="L26" i="8" s="1"/>
  <c r="L30" i="8" s="1"/>
  <c r="L30" i="11"/>
  <c r="N21" i="10" l="1"/>
  <c r="M15" i="8"/>
  <c r="Q50" i="10"/>
  <c r="Q17" i="8" s="1"/>
  <c r="P17" i="8"/>
  <c r="M23" i="8"/>
  <c r="P11" i="11"/>
  <c r="N21" i="8"/>
  <c r="N18" i="11"/>
  <c r="N11" i="8" s="1"/>
  <c r="O41" i="11"/>
  <c r="O18" i="11" s="1"/>
  <c r="G19" i="17"/>
  <c r="G5" i="14"/>
  <c r="G8" i="14" s="1"/>
  <c r="Z6" i="16" s="1"/>
  <c r="Q39" i="11"/>
  <c r="P5" i="8"/>
  <c r="P61" i="10"/>
  <c r="Q61" i="10" s="1"/>
  <c r="M14" i="11"/>
  <c r="M16" i="11" s="1"/>
  <c r="Q5" i="11"/>
  <c r="Q10" i="11" s="1"/>
  <c r="Q11" i="11" s="1"/>
  <c r="O79" i="10"/>
  <c r="P79" i="10" s="1"/>
  <c r="P69" i="10"/>
  <c r="P38" i="10"/>
  <c r="O38" i="10"/>
  <c r="M18" i="10"/>
  <c r="N42" i="10"/>
  <c r="O87" i="10"/>
  <c r="P51" i="10"/>
  <c r="O60" i="10"/>
  <c r="M41" i="10"/>
  <c r="P37" i="11"/>
  <c r="Q37" i="11" s="1"/>
  <c r="O37" i="10"/>
  <c r="P83" i="10"/>
  <c r="P88" i="10"/>
  <c r="P43" i="10" s="1"/>
  <c r="N12" i="10"/>
  <c r="P73" i="10"/>
  <c r="O23" i="10"/>
  <c r="M7" i="10"/>
  <c r="M11" i="8"/>
  <c r="P80" i="10"/>
  <c r="P34" i="10" s="1"/>
  <c r="P90" i="10"/>
  <c r="P45" i="10" s="1"/>
  <c r="P22" i="10"/>
  <c r="N11" i="10"/>
  <c r="P94" i="10"/>
  <c r="P49" i="10" s="1"/>
  <c r="N8" i="10"/>
  <c r="N45" i="10"/>
  <c r="N38" i="10"/>
  <c r="N31" i="10" s="1"/>
  <c r="O15" i="10"/>
  <c r="P66" i="10"/>
  <c r="M48" i="10"/>
  <c r="O78" i="10"/>
  <c r="O32" i="10" s="1"/>
  <c r="O64" i="10"/>
  <c r="O35" i="10"/>
  <c r="P81" i="10"/>
  <c r="O91" i="10"/>
  <c r="O46" i="10" s="1"/>
  <c r="O12" i="11"/>
  <c r="O13" i="11"/>
  <c r="N13" i="11"/>
  <c r="O21" i="10" l="1"/>
  <c r="N15" i="8"/>
  <c r="S6" i="16"/>
  <c r="AA6" i="16"/>
  <c r="Y6" i="16"/>
  <c r="O21" i="8"/>
  <c r="P19" i="8"/>
  <c r="O19" i="8"/>
  <c r="O20" i="8"/>
  <c r="N48" i="10"/>
  <c r="AB6" i="16"/>
  <c r="Q6" i="16"/>
  <c r="N47" i="11"/>
  <c r="O47" i="11" s="1"/>
  <c r="P47" i="11" s="1"/>
  <c r="Q47" i="11" s="1"/>
  <c r="N18" i="10"/>
  <c r="M24" i="8"/>
  <c r="U6" i="16"/>
  <c r="AC6" i="16"/>
  <c r="P41" i="11"/>
  <c r="T6" i="16"/>
  <c r="R6" i="16"/>
  <c r="N20" i="8"/>
  <c r="Q5" i="8"/>
  <c r="Q69" i="10"/>
  <c r="Q19" i="10" s="1"/>
  <c r="P19" i="10"/>
  <c r="P10" i="10"/>
  <c r="Q36" i="10"/>
  <c r="Q10" i="10"/>
  <c r="Q38" i="10"/>
  <c r="M19" i="11"/>
  <c r="M7" i="8" s="1"/>
  <c r="O33" i="10"/>
  <c r="Q90" i="10"/>
  <c r="Q45" i="10" s="1"/>
  <c r="N7" i="10"/>
  <c r="O31" i="10"/>
  <c r="P59" i="10"/>
  <c r="P8" i="10" s="1"/>
  <c r="O8" i="10"/>
  <c r="P87" i="10"/>
  <c r="O42" i="10"/>
  <c r="P64" i="10"/>
  <c r="Q83" i="10"/>
  <c r="Q37" i="10" s="1"/>
  <c r="P37" i="10"/>
  <c r="P31" i="10" s="1"/>
  <c r="N41" i="10"/>
  <c r="Q22" i="10"/>
  <c r="P62" i="10"/>
  <c r="O11" i="10"/>
  <c r="Q79" i="10"/>
  <c r="Q33" i="10" s="1"/>
  <c r="P33" i="10"/>
  <c r="Q73" i="10"/>
  <c r="Q23" i="10" s="1"/>
  <c r="P23" i="10"/>
  <c r="M5" i="10"/>
  <c r="Q88" i="10"/>
  <c r="Q43" i="10" s="1"/>
  <c r="N14" i="11"/>
  <c r="N16" i="11" s="1"/>
  <c r="N19" i="11" s="1"/>
  <c r="N7" i="8" s="1"/>
  <c r="P78" i="10"/>
  <c r="P32" i="10" s="1"/>
  <c r="Q66" i="10"/>
  <c r="Q15" i="10" s="1"/>
  <c r="P15" i="10"/>
  <c r="M28" i="10"/>
  <c r="P91" i="10"/>
  <c r="P46" i="10" s="1"/>
  <c r="Q80" i="10"/>
  <c r="Q34" i="10" s="1"/>
  <c r="P60" i="10"/>
  <c r="O9" i="10"/>
  <c r="O12" i="10"/>
  <c r="Q81" i="10"/>
  <c r="Q35" i="10" s="1"/>
  <c r="P35" i="10"/>
  <c r="Q51" i="10"/>
  <c r="Q94" i="10"/>
  <c r="Q49" i="10" s="1"/>
  <c r="O14" i="11"/>
  <c r="O16" i="11" s="1"/>
  <c r="P12" i="11"/>
  <c r="M22" i="11"/>
  <c r="M21" i="11"/>
  <c r="P21" i="10" l="1"/>
  <c r="O15" i="8"/>
  <c r="P21" i="8"/>
  <c r="Q19" i="8"/>
  <c r="N28" i="10"/>
  <c r="N23" i="8"/>
  <c r="N24" i="8" s="1"/>
  <c r="N5" i="10"/>
  <c r="P18" i="11"/>
  <c r="Q41" i="11"/>
  <c r="Q18" i="11" s="1"/>
  <c r="O48" i="10"/>
  <c r="P20" i="8"/>
  <c r="O19" i="11"/>
  <c r="Q20" i="8"/>
  <c r="Q31" i="10"/>
  <c r="Q59" i="10"/>
  <c r="Q8" i="10" s="1"/>
  <c r="P48" i="10"/>
  <c r="Q64" i="10"/>
  <c r="O41" i="10"/>
  <c r="Q78" i="10"/>
  <c r="Q32" i="10" s="1"/>
  <c r="O18" i="10"/>
  <c r="P12" i="10"/>
  <c r="Q12" i="10"/>
  <c r="Q91" i="10"/>
  <c r="Q46" i="10" s="1"/>
  <c r="P11" i="10"/>
  <c r="Q62" i="10"/>
  <c r="Q11" i="10" s="1"/>
  <c r="P42" i="10"/>
  <c r="Q87" i="10"/>
  <c r="Q42" i="10" s="1"/>
  <c r="O7" i="10"/>
  <c r="Q60" i="10"/>
  <c r="Q9" i="10" s="1"/>
  <c r="P9" i="10"/>
  <c r="Q12" i="11"/>
  <c r="Q13" i="11"/>
  <c r="P13" i="11"/>
  <c r="P14" i="11" s="1"/>
  <c r="P16" i="11" s="1"/>
  <c r="O21" i="11"/>
  <c r="O23" i="11"/>
  <c r="O22" i="11"/>
  <c r="N23" i="11"/>
  <c r="N21" i="11"/>
  <c r="N22" i="11"/>
  <c r="M24" i="11"/>
  <c r="M26" i="11" s="1"/>
  <c r="M28" i="11" s="1"/>
  <c r="M29" i="11" s="1"/>
  <c r="O7" i="8" l="1"/>
  <c r="O20" i="11"/>
  <c r="Q21" i="10"/>
  <c r="Q15" i="8" s="1"/>
  <c r="P15" i="8"/>
  <c r="Q48" i="10"/>
  <c r="O28" i="10"/>
  <c r="O23" i="8"/>
  <c r="O24" i="8" s="1"/>
  <c r="O11" i="8"/>
  <c r="P11" i="8"/>
  <c r="P19" i="11"/>
  <c r="P7" i="10"/>
  <c r="Q11" i="8"/>
  <c r="Q7" i="10"/>
  <c r="O5" i="10"/>
  <c r="P18" i="10"/>
  <c r="P41" i="10"/>
  <c r="P28" i="10" s="1"/>
  <c r="Q14" i="11"/>
  <c r="Q16" i="11" s="1"/>
  <c r="N24" i="11"/>
  <c r="N26" i="11" s="1"/>
  <c r="N28" i="11" s="1"/>
  <c r="N29" i="11" s="1"/>
  <c r="M30" i="11"/>
  <c r="M8" i="8"/>
  <c r="M9" i="8" s="1"/>
  <c r="O24" i="11"/>
  <c r="O26" i="11" s="1"/>
  <c r="P21" i="11"/>
  <c r="P23" i="11"/>
  <c r="P22" i="11"/>
  <c r="P7" i="8" l="1"/>
  <c r="P20" i="11"/>
  <c r="P23" i="8"/>
  <c r="P24" i="8" s="1"/>
  <c r="Q18" i="10"/>
  <c r="Q5" i="10" s="1"/>
  <c r="Q41" i="10"/>
  <c r="Q28" i="10" s="1"/>
  <c r="M26" i="8"/>
  <c r="M30" i="8" s="1"/>
  <c r="H7" i="16" s="1"/>
  <c r="Q19" i="11"/>
  <c r="P5" i="10"/>
  <c r="N30" i="11"/>
  <c r="N8" i="8"/>
  <c r="N9" i="8" s="1"/>
  <c r="N26" i="8" s="1"/>
  <c r="N30" i="8" s="1"/>
  <c r="Q22" i="11"/>
  <c r="Q23" i="11"/>
  <c r="Q21" i="11"/>
  <c r="P24" i="11"/>
  <c r="P26" i="11" s="1"/>
  <c r="O28" i="11"/>
  <c r="O29" i="11" s="1"/>
  <c r="Q7" i="8" l="1"/>
  <c r="Q20" i="11"/>
  <c r="Q23" i="8"/>
  <c r="Q24" i="8" s="1"/>
  <c r="G11" i="14"/>
  <c r="H11" i="16"/>
  <c r="H10" i="16"/>
  <c r="H9" i="16"/>
  <c r="H8" i="16"/>
  <c r="I8" i="16"/>
  <c r="H11" i="14"/>
  <c r="I9" i="16"/>
  <c r="I11" i="16"/>
  <c r="I10" i="16"/>
  <c r="I7" i="16"/>
  <c r="Q24" i="11"/>
  <c r="Q26" i="11" s="1"/>
  <c r="Q28" i="11" s="1"/>
  <c r="O30" i="11"/>
  <c r="O8" i="8"/>
  <c r="O9" i="8" s="1"/>
  <c r="O26" i="8" s="1"/>
  <c r="O30" i="8" s="1"/>
  <c r="P28" i="11"/>
  <c r="J9" i="16" l="1"/>
  <c r="J11" i="16"/>
  <c r="J7" i="16"/>
  <c r="J8" i="16"/>
  <c r="J10" i="16"/>
  <c r="I11" i="14"/>
  <c r="P8" i="8"/>
  <c r="P9" i="8" s="1"/>
  <c r="P26" i="8" s="1"/>
  <c r="P30" i="8" s="1"/>
  <c r="P29" i="11"/>
  <c r="Q8" i="8"/>
  <c r="Q9" i="8" s="1"/>
  <c r="Q26" i="8" s="1"/>
  <c r="Q30" i="8" s="1"/>
  <c r="Y8" i="16" s="1"/>
  <c r="Q29" i="11"/>
  <c r="P30" i="11"/>
  <c r="Q30" i="11"/>
  <c r="G28" i="14" l="1"/>
  <c r="J27" i="14"/>
  <c r="J28" i="14" s="1"/>
  <c r="K10" i="16"/>
  <c r="K11" i="16"/>
  <c r="K8" i="16"/>
  <c r="K9" i="16"/>
  <c r="K7" i="16"/>
  <c r="J11" i="14"/>
  <c r="AB10" i="16"/>
  <c r="AB9" i="16" l="1"/>
  <c r="Z11" i="16"/>
  <c r="Y10" i="16"/>
  <c r="Z7" i="16"/>
  <c r="AC10" i="16"/>
  <c r="AA9" i="16"/>
  <c r="AC7" i="16"/>
  <c r="AB7" i="16"/>
  <c r="AC11" i="16"/>
  <c r="AB11" i="16"/>
  <c r="AA11" i="16"/>
  <c r="AC8" i="16"/>
  <c r="AA10" i="16"/>
  <c r="AC9" i="16"/>
  <c r="Z10" i="16"/>
  <c r="AA7" i="16"/>
  <c r="Y9" i="16"/>
  <c r="Y11" i="16"/>
  <c r="AA8" i="16"/>
  <c r="Y7" i="16"/>
  <c r="L8" i="16"/>
  <c r="M8" i="16" s="1"/>
  <c r="L10" i="16"/>
  <c r="M10" i="16" s="1"/>
  <c r="L11" i="16"/>
  <c r="M11" i="16" s="1"/>
  <c r="L7" i="16"/>
  <c r="M7" i="16" s="1"/>
  <c r="L9" i="16"/>
  <c r="M9" i="16" s="1"/>
  <c r="K11" i="14"/>
  <c r="K12" i="14" s="1"/>
  <c r="Z9" i="16"/>
  <c r="Z8" i="16"/>
  <c r="AB8" i="16"/>
  <c r="G31" i="14" l="1"/>
  <c r="G32" i="14" s="1"/>
  <c r="J31" i="14"/>
  <c r="J32" i="14" s="1"/>
  <c r="R11" i="16"/>
  <c r="R10" i="16"/>
  <c r="U11" i="16"/>
  <c r="U9" i="16"/>
  <c r="R9" i="16"/>
  <c r="T8" i="16"/>
  <c r="T9" i="16"/>
  <c r="S9" i="16"/>
  <c r="U10" i="16"/>
  <c r="Q10" i="16"/>
  <c r="Q8" i="16"/>
  <c r="S8" i="16"/>
  <c r="S10" i="16"/>
  <c r="R8" i="16"/>
  <c r="Q11" i="16"/>
  <c r="T11" i="16"/>
  <c r="S11" i="16"/>
  <c r="T10" i="16"/>
  <c r="Q9" i="16"/>
  <c r="R7" i="16"/>
  <c r="Q7" i="16"/>
  <c r="U8" i="16"/>
  <c r="G14" i="14"/>
  <c r="G16" i="14" s="1"/>
  <c r="U12" i="19" s="1"/>
  <c r="S7" i="16"/>
  <c r="U7" i="16"/>
  <c r="T7" i="16"/>
  <c r="G18" i="14" l="1"/>
  <c r="U1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Victor Dujardin</author>
  </authors>
  <commentList>
    <comment ref="F5" authorId="0" shapeId="0" xr:uid="{E891A724-C432-45B8-8C54-05C47031879C}">
      <text>
        <r>
          <rPr>
            <b/>
            <sz val="9"/>
            <color indexed="81"/>
            <rFont val="Tahoma"/>
            <family val="2"/>
          </rPr>
          <t>Victor Dujardin:</t>
        </r>
        <r>
          <rPr>
            <sz val="9"/>
            <color indexed="81"/>
            <rFont val="Tahoma"/>
            <family val="2"/>
          </rPr>
          <t xml:space="preserve">
See annual report p132</t>
        </r>
      </text>
    </comment>
    <comment ref="F6" authorId="0" shapeId="0" xr:uid="{53A21B8E-8A44-4558-8D18-37746D1B497B}">
      <text>
        <r>
          <rPr>
            <b/>
            <sz val="9"/>
            <color indexed="81"/>
            <rFont val="Tahoma"/>
            <family val="2"/>
          </rPr>
          <t>Victor Dujardin:</t>
        </r>
        <r>
          <rPr>
            <sz val="9"/>
            <color indexed="81"/>
            <rFont val="Tahoma"/>
            <family val="2"/>
          </rPr>
          <t xml:space="preserve">
See annual report p132
</t>
        </r>
      </text>
    </comment>
    <comment ref="F7" authorId="0" shapeId="0" xr:uid="{C3EECB96-0E5C-4A4C-8800-891D7750E4D0}">
      <text>
        <r>
          <rPr>
            <b/>
            <sz val="9"/>
            <color indexed="81"/>
            <rFont val="Tahoma"/>
            <family val="2"/>
          </rPr>
          <t>Victor Dujardin:</t>
        </r>
        <r>
          <rPr>
            <sz val="9"/>
            <color indexed="81"/>
            <rFont val="Tahoma"/>
            <family val="2"/>
          </rPr>
          <t xml:space="preserve">
See annual report p132</t>
        </r>
      </text>
    </comment>
    <comment ref="F8" authorId="0" shapeId="0" xr:uid="{FBDE8544-04E3-41D0-BEE0-07352A085F45}">
      <text>
        <r>
          <rPr>
            <b/>
            <sz val="9"/>
            <color indexed="81"/>
            <rFont val="Tahoma"/>
            <family val="2"/>
          </rPr>
          <t>Victor Dujardin:</t>
        </r>
        <r>
          <rPr>
            <sz val="9"/>
            <color indexed="81"/>
            <rFont val="Tahoma"/>
            <family val="2"/>
          </rPr>
          <t xml:space="preserve">
See annual report p132</t>
        </r>
      </text>
    </comment>
    <comment ref="F9" authorId="0" shapeId="0" xr:uid="{E92C6A96-DA2D-45FA-9564-A38AB9E199A6}">
      <text>
        <r>
          <rPr>
            <b/>
            <sz val="9"/>
            <color indexed="81"/>
            <rFont val="Tahoma"/>
            <family val="2"/>
          </rPr>
          <t>Victor Dujardin:</t>
        </r>
        <r>
          <rPr>
            <sz val="9"/>
            <color indexed="81"/>
            <rFont val="Tahoma"/>
            <family val="2"/>
          </rPr>
          <t xml:space="preserve">
See annual report p132</t>
        </r>
      </text>
    </comment>
    <comment ref="F11" authorId="0" shapeId="0" xr:uid="{9FEEF7A6-BEDE-4A44-9460-8AF144DDA0FA}">
      <text>
        <r>
          <rPr>
            <b/>
            <sz val="9"/>
            <color indexed="81"/>
            <rFont val="Tahoma"/>
            <family val="2"/>
          </rPr>
          <t>Victor Dujardin:</t>
        </r>
        <r>
          <rPr>
            <sz val="9"/>
            <color indexed="81"/>
            <rFont val="Tahoma"/>
            <family val="2"/>
          </rPr>
          <t xml:space="preserve">
See annual report</t>
        </r>
      </text>
    </comment>
    <comment ref="F12" authorId="0" shapeId="0" xr:uid="{BF494708-75BD-4A8C-AACF-0A74646D1884}">
      <text>
        <r>
          <rPr>
            <b/>
            <sz val="9"/>
            <color indexed="81"/>
            <rFont val="Tahoma"/>
            <family val="2"/>
          </rPr>
          <t>Victor Dujardin:</t>
        </r>
        <r>
          <rPr>
            <sz val="9"/>
            <color indexed="81"/>
            <rFont val="Tahoma"/>
            <family val="2"/>
          </rPr>
          <t xml:space="preserve">
see annual report</t>
        </r>
      </text>
    </comment>
    <comment ref="F13" authorId="0" shapeId="0" xr:uid="{1E0C2934-B1D5-42C3-A88C-DEF21331041D}">
      <text>
        <r>
          <rPr>
            <b/>
            <sz val="9"/>
            <color indexed="81"/>
            <rFont val="Tahoma"/>
            <family val="2"/>
          </rPr>
          <t>Victor Dujardin:</t>
        </r>
        <r>
          <rPr>
            <sz val="9"/>
            <color indexed="81"/>
            <rFont val="Tahoma"/>
            <family val="2"/>
          </rPr>
          <t xml:space="preserve">
See annual report p136</t>
        </r>
      </text>
    </comment>
    <comment ref="F21" authorId="0" shapeId="0" xr:uid="{5E2B9B4A-7BAE-4375-B8E1-0C9CF09F296C}">
      <text>
        <r>
          <rPr>
            <b/>
            <sz val="9"/>
            <color indexed="81"/>
            <rFont val="Tahoma"/>
            <family val="2"/>
          </rPr>
          <t>Victor Dujardin:</t>
        </r>
        <r>
          <rPr>
            <sz val="9"/>
            <color indexed="81"/>
            <rFont val="Tahoma"/>
            <family val="2"/>
          </rPr>
          <t xml:space="preserve">
See annual report p109</t>
        </r>
      </text>
    </comment>
    <comment ref="F22" authorId="0" shapeId="0" xr:uid="{48D32AD1-173D-482A-A3CE-7102526EBB37}">
      <text>
        <r>
          <rPr>
            <b/>
            <sz val="9"/>
            <color indexed="81"/>
            <rFont val="Tahoma"/>
            <family val="2"/>
          </rPr>
          <t>Victor Dujardin:</t>
        </r>
        <r>
          <rPr>
            <sz val="9"/>
            <color indexed="81"/>
            <rFont val="Tahoma"/>
            <family val="2"/>
          </rPr>
          <t xml:space="preserve">
See annual report p109</t>
        </r>
      </text>
    </comment>
    <comment ref="F23" authorId="0" shapeId="0" xr:uid="{B4F8D28C-18B5-4E78-90BB-BA2D488EF39D}">
      <text>
        <r>
          <rPr>
            <b/>
            <sz val="9"/>
            <color indexed="81"/>
            <rFont val="Tahoma"/>
            <family val="2"/>
          </rPr>
          <t>Victor Dujardin:</t>
        </r>
        <r>
          <rPr>
            <sz val="9"/>
            <color indexed="81"/>
            <rFont val="Tahoma"/>
            <family val="2"/>
          </rPr>
          <t xml:space="preserve">
see annual report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Victor Dujardin</author>
  </authors>
  <commentList>
    <comment ref="F12" authorId="0" shapeId="0" xr:uid="{186E663A-E3F6-41C9-895D-ADC81312017E}">
      <text>
        <r>
          <rPr>
            <b/>
            <sz val="9"/>
            <color indexed="81"/>
            <rFont val="Tahoma"/>
            <family val="2"/>
          </rPr>
          <t>Victor Dujardin:</t>
        </r>
        <r>
          <rPr>
            <sz val="9"/>
            <color indexed="81"/>
            <rFont val="Tahoma"/>
            <family val="2"/>
          </rPr>
          <t xml:space="preserve">
see annual report p110</t>
        </r>
      </text>
    </comment>
    <comment ref="F22" authorId="0" shapeId="0" xr:uid="{609AAAA8-BED9-498D-8321-F5C8E03A5565}">
      <text>
        <r>
          <rPr>
            <b/>
            <sz val="9"/>
            <color indexed="81"/>
            <rFont val="Tahoma"/>
            <family val="2"/>
          </rPr>
          <t>Victor Dujardin:</t>
        </r>
        <r>
          <rPr>
            <sz val="9"/>
            <color indexed="81"/>
            <rFont val="Tahoma"/>
            <family val="2"/>
          </rPr>
          <t xml:space="preserve">
see annual report p110</t>
        </r>
      </text>
    </comment>
    <comment ref="F38" authorId="0" shapeId="0" xr:uid="{8442AC04-84CE-456F-A69C-0625322660AF}">
      <text>
        <r>
          <rPr>
            <b/>
            <sz val="9"/>
            <color indexed="81"/>
            <rFont val="Tahoma"/>
            <family val="2"/>
          </rPr>
          <t>Victor Dujardin:</t>
        </r>
        <r>
          <rPr>
            <sz val="9"/>
            <color indexed="81"/>
            <rFont val="Tahoma"/>
            <family val="2"/>
          </rPr>
          <t xml:space="preserve">
see annual report in the consolidated balance sheet</t>
        </r>
      </text>
    </comment>
    <comment ref="F46" authorId="0" shapeId="0" xr:uid="{0B34B517-0C1E-4D6E-A62A-09F0426606C6}">
      <text>
        <r>
          <rPr>
            <b/>
            <sz val="9"/>
            <color indexed="81"/>
            <rFont val="Tahoma"/>
            <family val="2"/>
          </rPr>
          <t>Victor Dujardin:</t>
        </r>
        <r>
          <rPr>
            <sz val="9"/>
            <color indexed="81"/>
            <rFont val="Tahoma"/>
            <family val="2"/>
          </rPr>
          <t xml:space="preserve">
see annual report p164</t>
        </r>
      </text>
    </comment>
    <comment ref="F52" authorId="0" shapeId="0" xr:uid="{B5EAB3C2-33D3-4CF3-A58F-9B643D6FAA06}">
      <text>
        <r>
          <rPr>
            <b/>
            <sz val="9"/>
            <color indexed="81"/>
            <rFont val="Tahoma"/>
            <family val="2"/>
          </rPr>
          <t>Victor Dujardin:</t>
        </r>
        <r>
          <rPr>
            <sz val="9"/>
            <color indexed="81"/>
            <rFont val="Tahoma"/>
            <family val="2"/>
          </rPr>
          <t xml:space="preserve">
see annual report p162</t>
        </r>
      </text>
    </comment>
    <comment ref="F54" authorId="0" shapeId="0" xr:uid="{C918E11F-C968-41D6-9539-4390DDAB689A}">
      <text>
        <r>
          <rPr>
            <b/>
            <sz val="9"/>
            <color indexed="81"/>
            <rFont val="Tahoma"/>
            <family val="2"/>
          </rPr>
          <t>Victor Dujardin:</t>
        </r>
        <r>
          <rPr>
            <sz val="9"/>
            <color indexed="81"/>
            <rFont val="Tahoma"/>
            <family val="2"/>
          </rPr>
          <t xml:space="preserve">
see annual report in the consolidated balance 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Vivian Mathieu</author>
    <author>Victor Dujardin</author>
  </authors>
  <commentList>
    <comment ref="F9" authorId="0" shapeId="0" xr:uid="{7E8871FF-704A-45DF-A211-CDA00E2F1A36}">
      <text>
        <r>
          <rPr>
            <b/>
            <sz val="8"/>
            <color indexed="81"/>
            <rFont val="Tahoma"/>
            <family val="2"/>
          </rPr>
          <t>EBIT(1-T)  =  After-tax EBIT ≡  NOPAT ≡ NOPLAT</t>
        </r>
        <r>
          <rPr>
            <sz val="8"/>
            <color indexed="81"/>
            <rFont val="Tahoma"/>
            <family val="2"/>
          </rPr>
          <t xml:space="preserve">
where NOPAT  is Net Operating Profit After Tax 
     and NOPLAT is Net Operating Profit Less Adjusted Taxes</t>
        </r>
      </text>
    </comment>
    <comment ref="J15" authorId="1" shapeId="0" xr:uid="{BF711F1D-87A0-4C33-A56C-B1B52FE2FAE7}">
      <text>
        <r>
          <rPr>
            <b/>
            <sz val="9"/>
            <color indexed="81"/>
            <rFont val="Tahoma"/>
            <family val="2"/>
          </rPr>
          <t>Victor Dujardin:</t>
        </r>
        <r>
          <rPr>
            <sz val="9"/>
            <color indexed="81"/>
            <rFont val="Tahoma"/>
            <family val="2"/>
          </rPr>
          <t xml:space="preserve">
value against the general trend</t>
        </r>
      </text>
    </comment>
    <comment ref="J17" authorId="1" shapeId="0" xr:uid="{39FCCD26-FB8F-4F25-A983-211C1AAEDCC1}">
      <text>
        <r>
          <rPr>
            <b/>
            <sz val="9"/>
            <color indexed="81"/>
            <rFont val="Tahoma"/>
            <family val="2"/>
          </rPr>
          <t>Victor Dujardin:</t>
        </r>
        <r>
          <rPr>
            <sz val="9"/>
            <color indexed="81"/>
            <rFont val="Tahoma"/>
            <family val="2"/>
          </rPr>
          <t xml:space="preserve">
value against the general trend</t>
        </r>
      </text>
    </comment>
    <comment ref="J19" authorId="1" shapeId="0" xr:uid="{D1922B12-D058-406D-B546-5795BDF506DE}">
      <text>
        <r>
          <rPr>
            <b/>
            <sz val="9"/>
            <color indexed="81"/>
            <rFont val="Tahoma"/>
            <family val="2"/>
          </rPr>
          <t>Victor Dujardin:</t>
        </r>
        <r>
          <rPr>
            <sz val="9"/>
            <color indexed="81"/>
            <rFont val="Tahoma"/>
            <family val="2"/>
          </rPr>
          <t xml:space="preserve">
value against the general trend</t>
        </r>
      </text>
    </comment>
  </commentList>
</comments>
</file>

<file path=xl/sharedStrings.xml><?xml version="1.0" encoding="utf-8"?>
<sst xmlns="http://schemas.openxmlformats.org/spreadsheetml/2006/main" count="1543" uniqueCount="618">
  <si>
    <t>Umicore SA (ENXTBR:UMI) &gt; Financials &gt; Balance Sheet</t>
  </si>
  <si>
    <t>In Millions of EUR, except per share items.</t>
  </si>
  <si>
    <t>Template:</t>
  </si>
  <si>
    <t>Standard</t>
  </si>
  <si>
    <t> </t>
  </si>
  <si>
    <t>Restatement:</t>
  </si>
  <si>
    <t>Latest Filings</t>
  </si>
  <si>
    <t>Period Type:</t>
  </si>
  <si>
    <t>Annual</t>
  </si>
  <si>
    <t>Order:</t>
  </si>
  <si>
    <t>Latest on Right</t>
  </si>
  <si>
    <t>Currency:</t>
  </si>
  <si>
    <t>Euro</t>
  </si>
  <si>
    <t>Conversion:</t>
  </si>
  <si>
    <t>Historical</t>
  </si>
  <si>
    <t>Units:</t>
  </si>
  <si>
    <t>S&amp;P Capital IQ (Default)</t>
  </si>
  <si>
    <t>Decimals:</t>
  </si>
  <si>
    <t>Capital IQ (Default)</t>
  </si>
  <si>
    <t>Source:</t>
  </si>
  <si>
    <t>Capital IQ &amp; Proprietary Data</t>
  </si>
  <si>
    <t>Balance Sheet</t>
  </si>
  <si>
    <t xml:space="preserve">Balance Sheet as of:
</t>
  </si>
  <si>
    <t>Restated
Dec-31-2019</t>
  </si>
  <si>
    <t>Currency</t>
  </si>
  <si>
    <t>EUR</t>
  </si>
  <si>
    <t>ASSETS</t>
  </si>
  <si>
    <t>Cash And Equivalents</t>
  </si>
  <si>
    <t>Short Term Investments</t>
  </si>
  <si>
    <t>-</t>
  </si>
  <si>
    <t xml:space="preserve">  Total Cash &amp; ST Investments</t>
  </si>
  <si>
    <t>Accounts Receivable</t>
  </si>
  <si>
    <t>Other Receivables</t>
  </si>
  <si>
    <t>Notes Receivable</t>
  </si>
  <si>
    <t xml:space="preserve">  Total Receivables</t>
  </si>
  <si>
    <t>Inventory</t>
  </si>
  <si>
    <t>Other Current Assets</t>
  </si>
  <si>
    <t xml:space="preserve">  Total Current Assets</t>
  </si>
  <si>
    <t>Gross Property, Plant &amp; Equipment</t>
  </si>
  <si>
    <t>Accumulated Depreciation</t>
  </si>
  <si>
    <t xml:space="preserve">  Net Property, Plant &amp; Equipment</t>
  </si>
  <si>
    <t>Long-term Investments</t>
  </si>
  <si>
    <t>Goodwill</t>
  </si>
  <si>
    <t>Other Intangibles</t>
  </si>
  <si>
    <t>Loans Receivable Long-Term</t>
  </si>
  <si>
    <t>Deferred Tax Assets, LT</t>
  </si>
  <si>
    <t>Deferred Charges, LT</t>
  </si>
  <si>
    <t>Other Long-Term Assets</t>
  </si>
  <si>
    <t>Total Assets</t>
  </si>
  <si>
    <t>LIABILITIES</t>
  </si>
  <si>
    <t>Accounts Payable</t>
  </si>
  <si>
    <t>Accrued Exp.</t>
  </si>
  <si>
    <t>Short-term Borrowings</t>
  </si>
  <si>
    <t>Curr. Port. of LT Debt</t>
  </si>
  <si>
    <t>Curr. Income Taxes Payable</t>
  </si>
  <si>
    <t>Unearned Revenue, Current</t>
  </si>
  <si>
    <t>Other Current Liabilities</t>
  </si>
  <si>
    <t xml:space="preserve">  Total Current Liabilities</t>
  </si>
  <si>
    <t>Long-Term Debt</t>
  </si>
  <si>
    <t>Long-Term Leases</t>
  </si>
  <si>
    <t>Unearned Revenue, Non-Current</t>
  </si>
  <si>
    <t>Pension &amp; Other Post-Retire. Benefits</t>
  </si>
  <si>
    <t>Def. Tax Liability, Non-Curr.</t>
  </si>
  <si>
    <t>Other Non-Current Liabilities</t>
  </si>
  <si>
    <t>Total Liabilities</t>
  </si>
  <si>
    <t>Common Stock</t>
  </si>
  <si>
    <t>Additional Paid In Capital</t>
  </si>
  <si>
    <t>Retained Earnings</t>
  </si>
  <si>
    <t>Treasury Stock</t>
  </si>
  <si>
    <t>Comprehensive Inc. and Other</t>
  </si>
  <si>
    <t xml:space="preserve">  Total Common Equity</t>
  </si>
  <si>
    <t>Minority Interest</t>
  </si>
  <si>
    <t>Total Equity</t>
  </si>
  <si>
    <t>Total Liabilities And Equity</t>
  </si>
  <si>
    <t>Supplemental Items</t>
  </si>
  <si>
    <t>Total Shares Out. on Filing Date</t>
  </si>
  <si>
    <t>Total Shares Out. on Balance Sheet Date</t>
  </si>
  <si>
    <t>Book Value/Share</t>
  </si>
  <si>
    <t>Tangible Book Value</t>
  </si>
  <si>
    <t>Tangible Book Value/Share</t>
  </si>
  <si>
    <t>Total Debt</t>
  </si>
  <si>
    <t>Net Debt</t>
  </si>
  <si>
    <t>Debt Equiv. of Unfunded Proj. Benefit Obligation</t>
  </si>
  <si>
    <t>Total Minority Interest</t>
  </si>
  <si>
    <t>Equity Method Investments</t>
  </si>
  <si>
    <t>Inventory Method</t>
  </si>
  <si>
    <t>Avg Cost</t>
  </si>
  <si>
    <t>Raw Materials Inventory</t>
  </si>
  <si>
    <t>Work in Progress Inventory</t>
  </si>
  <si>
    <t>Finished Goods Inventory</t>
  </si>
  <si>
    <t>Other Inventory Accounts</t>
  </si>
  <si>
    <t>Land</t>
  </si>
  <si>
    <t>Machinery</t>
  </si>
  <si>
    <t>Construction in Progress</t>
  </si>
  <si>
    <t>Full Time Employees</t>
  </si>
  <si>
    <t>Part-Time Employees</t>
  </si>
  <si>
    <t>NA</t>
  </si>
  <si>
    <t>Accum. Allowance for Doubtful Accts</t>
  </si>
  <si>
    <t>Filing Date</t>
  </si>
  <si>
    <t>Restatement Type</t>
  </si>
  <si>
    <t>NC</t>
  </si>
  <si>
    <t>RS</t>
  </si>
  <si>
    <t>O</t>
  </si>
  <si>
    <t>Calculation Type</t>
  </si>
  <si>
    <t>REP</t>
  </si>
  <si>
    <t xml:space="preserve"> </t>
  </si>
  <si>
    <t>Exchange Rate</t>
  </si>
  <si>
    <t>Conversion Method</t>
  </si>
  <si>
    <t>H</t>
  </si>
  <si>
    <t>Note: For multiple class companies, total share counts are primary class equivalent, and for foreign companies listed as primary ADRs, total share counts are ADR-equivalent.</t>
  </si>
  <si>
    <t xml:space="preserve">
               </t>
  </si>
  <si>
    <t>Umicore SA (ENXTBR:UMI) &gt; Financials &gt; Income Statement</t>
  </si>
  <si>
    <t>Income Statement</t>
  </si>
  <si>
    <t xml:space="preserve">For the Fiscal Period Ending
</t>
  </si>
  <si>
    <t>Reclassified
12 months
Dec-31-2015</t>
  </si>
  <si>
    <t>Reclassified
12 months
Dec-31-2016</t>
  </si>
  <si>
    <t>Reclassified
12 months
Dec-31-2017</t>
  </si>
  <si>
    <t>Reclassified
12 months
Dec-31-2018</t>
  </si>
  <si>
    <t>Reclassified
12 months
Dec-31-2019</t>
  </si>
  <si>
    <t>12 months
Dec-31-2020</t>
  </si>
  <si>
    <t>Revenue</t>
  </si>
  <si>
    <t>Other Revenue</t>
  </si>
  <si>
    <t xml:space="preserve">  Total Revenue</t>
  </si>
  <si>
    <t>Cost Of Goods Sold</t>
  </si>
  <si>
    <t xml:space="preserve">  Gross Profit</t>
  </si>
  <si>
    <t>Selling General &amp; Admin Exp.</t>
  </si>
  <si>
    <t>R &amp; D Exp.</t>
  </si>
  <si>
    <t>Depreciation &amp; Amort.</t>
  </si>
  <si>
    <t>Other Operating Expense/(Income)</t>
  </si>
  <si>
    <t xml:space="preserve">  Other Operating Exp., Total</t>
  </si>
  <si>
    <t xml:space="preserve">  Operating Income</t>
  </si>
  <si>
    <t>Interest Expense</t>
  </si>
  <si>
    <t>Interest and Invest. Income</t>
  </si>
  <si>
    <t xml:space="preserve">  Net Interest Exp.</t>
  </si>
  <si>
    <t>Income/(Loss) from Affiliates</t>
  </si>
  <si>
    <t>Currency Exchange Gains (Loss)</t>
  </si>
  <si>
    <t>Other Non-Operating Inc. (Exp.)</t>
  </si>
  <si>
    <t xml:space="preserve">  EBT Excl. Unusual Items</t>
  </si>
  <si>
    <t>Restructuring Charges</t>
  </si>
  <si>
    <t>Impairment of Goodwill</t>
  </si>
  <si>
    <t>Gain (Loss) On Sale Of Invest.</t>
  </si>
  <si>
    <t>Gain (Loss) On Sale Of Assets</t>
  </si>
  <si>
    <t>Asset Writedown</t>
  </si>
  <si>
    <t>Insurance Settlements</t>
  </si>
  <si>
    <t>Legal Settlements</t>
  </si>
  <si>
    <t>Other Unusual Items</t>
  </si>
  <si>
    <t xml:space="preserve">  EBT Incl. Unusual Items</t>
  </si>
  <si>
    <t>Income Tax Expense</t>
  </si>
  <si>
    <t xml:space="preserve">  Earnings from Cont. Ops.</t>
  </si>
  <si>
    <t>Earnings of Discontinued Ops.</t>
  </si>
  <si>
    <t>Extraord. Item &amp; Account. Change</t>
  </si>
  <si>
    <t xml:space="preserve">  Net Income to Company</t>
  </si>
  <si>
    <t>Minority Int. in Earnings</t>
  </si>
  <si>
    <t xml:space="preserve">  Net Income</t>
  </si>
  <si>
    <t>Pref. Dividends and Other Adj.</t>
  </si>
  <si>
    <t xml:space="preserve">  NI to Common Incl Extra Items</t>
  </si>
  <si>
    <t xml:space="preserve">  NI to Common Excl. Extra Items</t>
  </si>
  <si>
    <t>Per Share Items</t>
  </si>
  <si>
    <t>Basic EPS</t>
  </si>
  <si>
    <t>Basic EPS Excl. Extra Items</t>
  </si>
  <si>
    <t>Weighted Avg. Basic Shares Out.</t>
  </si>
  <si>
    <t>Diluted EPS</t>
  </si>
  <si>
    <t>Diluted EPS Excl. Extra Items</t>
  </si>
  <si>
    <t>Weighted Avg. Diluted Shares Out.</t>
  </si>
  <si>
    <t>Normalized Basic EPS</t>
  </si>
  <si>
    <t>Normalized Diluted EPS</t>
  </si>
  <si>
    <t>Dividends per Share</t>
  </si>
  <si>
    <t>Payout Ratio %</t>
  </si>
  <si>
    <t>Shares per Depository Receipt</t>
  </si>
  <si>
    <t>EBITDA</t>
  </si>
  <si>
    <t>EBITA</t>
  </si>
  <si>
    <t>EBIT</t>
  </si>
  <si>
    <t>As Reported Total Revenue*</t>
  </si>
  <si>
    <t>Effective Tax Rate %</t>
  </si>
  <si>
    <t>Total Current Taxes</t>
  </si>
  <si>
    <t>Total Deferred Taxes</t>
  </si>
  <si>
    <t>Normalized Net Income</t>
  </si>
  <si>
    <t>Interest on Long Term Debt</t>
  </si>
  <si>
    <t>Non-Cash Pension Expense</t>
  </si>
  <si>
    <t>RD</t>
  </si>
  <si>
    <t>RC</t>
  </si>
  <si>
    <t>Supplemental Operating Expense Items</t>
  </si>
  <si>
    <t>R&amp;D Exp.</t>
  </si>
  <si>
    <t>Stock-Based Comp., COGS</t>
  </si>
  <si>
    <t xml:space="preserve">  Stock-Based Comp., Total</t>
  </si>
  <si>
    <t>* Occasionally, certain items classified as Revenue by the company will be re-classified as other income if it is deemed to be non-recurring and unrelated to the core business of the firm. This field shows Total Revenue exactly as reported by the firm on its consolidated statement of income.</t>
  </si>
  <si>
    <t>Note: For multiple class companies, per share items are primary class equivalent, and for foreign companies listed as primary ADRs, per share items are ADR-equivalent.</t>
  </si>
  <si>
    <t>Umicore SA (ENXTBR:UMI) &gt; Financials &gt; Key Stats</t>
  </si>
  <si>
    <t>Dilution:</t>
  </si>
  <si>
    <t>Basic</t>
  </si>
  <si>
    <t>Key Financials¹</t>
  </si>
  <si>
    <t>12 months
Dec-31-2015A</t>
  </si>
  <si>
    <t>12 months
Dec-31-2016A</t>
  </si>
  <si>
    <t>12 months
Dec-31-2017A</t>
  </si>
  <si>
    <t>12 months
Dec-31-2018A</t>
  </si>
  <si>
    <t>12 months
Dec-31-2019A</t>
  </si>
  <si>
    <t>12 months
Dec-31-2020A</t>
  </si>
  <si>
    <t>Total Revenue</t>
  </si>
  <si>
    <t xml:space="preserve">  Growth Over Prior Year</t>
  </si>
  <si>
    <t>Gross Profit</t>
  </si>
  <si>
    <t xml:space="preserve">  Margin %</t>
  </si>
  <si>
    <t>Earnings from Cont. Ops.</t>
  </si>
  <si>
    <t>Net Income</t>
  </si>
  <si>
    <t>Diluted EPS Excl. Extra Items³</t>
  </si>
  <si>
    <t>¹All results are taken from the most recently filed statement for each period. When there has been more than one, earlier filings can be viewed on the individual statement pages.</t>
  </si>
  <si>
    <t>²Growth rates for the LTM period are calculated against the LTM period ending 12 months before.</t>
  </si>
  <si>
    <t>³All forward period figures are consensus mean estimates provided by the brokers and may not be on a comparable basis as financials.</t>
  </si>
  <si>
    <t>†Growth rates for forward periods are calculated against prior period estimates or actual pro forma results as disclosed on the Estimates Consensus page.</t>
  </si>
  <si>
    <t>Growth Rates are calculated in originally reported currency only and will not reflect any currency conversion selected above.</t>
  </si>
  <si>
    <t>Current Capitalization (Millions of EUR)</t>
  </si>
  <si>
    <t>Share Price</t>
  </si>
  <si>
    <t>Shares Out.</t>
  </si>
  <si>
    <t>Market Capitalization</t>
  </si>
  <si>
    <t>- Cash &amp; Short Term Investments</t>
  </si>
  <si>
    <t>+ Total Debt</t>
  </si>
  <si>
    <t>+ Pref. Equity</t>
  </si>
  <si>
    <t>+ Total Minority Interest</t>
  </si>
  <si>
    <t>- Long Term Marketable Securities</t>
  </si>
  <si>
    <t>= Total Enterprise Value (TEV)</t>
  </si>
  <si>
    <t>Book Value of Common Equity</t>
  </si>
  <si>
    <t>= Total Capital</t>
  </si>
  <si>
    <t>**For companies that have multiple share classes that publicly trade, we are incorporating the different prices to calculate our company level market capitalization.  Please click on the value to see the detailed calculation. Prices shown on this page are the close price of the company’s primary stock class. Shares shown on this page are total company as-reported share values.</t>
  </si>
  <si>
    <t>Total Liability includes Total Debt, Minority Interest and Pref. Equity.</t>
  </si>
  <si>
    <t>Net Liability includes Total Liability, net of Cash and Short Term Investments.</t>
  </si>
  <si>
    <t>TEV includes Market Cap and Net Liability.</t>
  </si>
  <si>
    <t>Total Capital includes Common Equity and Total Liability.</t>
  </si>
  <si>
    <t>Valuation Multiples based on Current Capitalization</t>
  </si>
  <si>
    <t>LTM
12 months
Jun-30-2021A</t>
  </si>
  <si>
    <t>12 months
Dec-31-2021E</t>
  </si>
  <si>
    <t>12 months
Dec-31-2022E</t>
  </si>
  <si>
    <t>12 months
Dec-31-2023E</t>
  </si>
  <si>
    <t>TEV/Total Revenue</t>
  </si>
  <si>
    <t>TEV/EBITDA</t>
  </si>
  <si>
    <t>TEV/EBIT</t>
  </si>
  <si>
    <t>P/Diluted EPS Before Extra</t>
  </si>
  <si>
    <t>P/BV</t>
  </si>
  <si>
    <t>Price/Tang BV</t>
  </si>
  <si>
    <t>Content</t>
  </si>
  <si>
    <t>Market data</t>
  </si>
  <si>
    <t>Forecasted BS</t>
  </si>
  <si>
    <t>Market size</t>
  </si>
  <si>
    <t xml:space="preserve">Catalysis </t>
  </si>
  <si>
    <t>Forecasted IS</t>
  </si>
  <si>
    <t xml:space="preserve">Energy &amp; Surface Technologies </t>
  </si>
  <si>
    <t>Recycling</t>
  </si>
  <si>
    <t>indexed versus 2015</t>
  </si>
  <si>
    <t>Market Data</t>
  </si>
  <si>
    <t>Key Stat</t>
  </si>
  <si>
    <t xml:space="preserve">Market share Umicore </t>
  </si>
  <si>
    <t>Cash Flow</t>
  </si>
  <si>
    <t>Solutions FCFs</t>
  </si>
  <si>
    <t>WACC</t>
  </si>
  <si>
    <t>Segments</t>
  </si>
  <si>
    <t>Assumed to be constant</t>
  </si>
  <si>
    <t>TV</t>
  </si>
  <si>
    <t>Sensitivity analysis</t>
  </si>
  <si>
    <t>Note: market data is simpliefied and directional</t>
  </si>
  <si>
    <t>Umicore SA (ENXTBR:UMI) &gt; Financials &gt; Segments</t>
  </si>
  <si>
    <t>In Millions of EUR.</t>
  </si>
  <si>
    <t>View By:</t>
  </si>
  <si>
    <t>Line Items</t>
  </si>
  <si>
    <t>Business Segments</t>
  </si>
  <si>
    <t>Revenues</t>
  </si>
  <si>
    <t>Catalysis</t>
  </si>
  <si>
    <t>Energy &amp; Surface Technologies</t>
  </si>
  <si>
    <t>Corporate &amp; Unallocated</t>
  </si>
  <si>
    <t>Eliminations</t>
  </si>
  <si>
    <t>Performance Materials</t>
  </si>
  <si>
    <t xml:space="preserve">  Total Revenues</t>
  </si>
  <si>
    <t xml:space="preserve">  Total EBITDA</t>
  </si>
  <si>
    <t>Operating Profit Before Tax</t>
  </si>
  <si>
    <t xml:space="preserve">  Total Operating Profit Before Tax</t>
  </si>
  <si>
    <t>Assets</t>
  </si>
  <si>
    <t>Discontinued Operations</t>
  </si>
  <si>
    <t xml:space="preserve">  Total Assets</t>
  </si>
  <si>
    <t>Depreciation &amp; Amortization</t>
  </si>
  <si>
    <t xml:space="preserve">  Total Depreciation &amp; Amortization</t>
  </si>
  <si>
    <t>Capital Expenditure</t>
  </si>
  <si>
    <t xml:space="preserve">  Total Capital Expenditure</t>
  </si>
  <si>
    <t>Geographic Segments</t>
  </si>
  <si>
    <t>Europe (Excluding Belgium)</t>
  </si>
  <si>
    <t>Belgium</t>
  </si>
  <si>
    <t>Asia-Pacific</t>
  </si>
  <si>
    <t>North America</t>
  </si>
  <si>
    <t>South America</t>
  </si>
  <si>
    <t>Africa</t>
  </si>
  <si>
    <t>Tax Expense</t>
  </si>
  <si>
    <t>Europe</t>
  </si>
  <si>
    <t xml:space="preserve">  Total Tax Expense</t>
  </si>
  <si>
    <t>Umicore SA (ENXTBR:UMI) &gt; Financials &gt; Cash Flow</t>
  </si>
  <si>
    <t>Restated
12 months
Dec-31-2015</t>
  </si>
  <si>
    <t>12 months
Dec-31-2016</t>
  </si>
  <si>
    <t>12 months
Dec-31-2017</t>
  </si>
  <si>
    <t>Restated
12 months
Dec-31-2018</t>
  </si>
  <si>
    <t>12 months
Dec-31-2019</t>
  </si>
  <si>
    <t>Amort. of Goodwill and Intangibles</t>
  </si>
  <si>
    <t>Depreciation &amp; Amort., Total</t>
  </si>
  <si>
    <t>Other Amortization</t>
  </si>
  <si>
    <t>(Gain) Loss From Sale Of Assets</t>
  </si>
  <si>
    <t>(Gain) Loss On Sale Of Invest.</t>
  </si>
  <si>
    <t>Asset Writedown &amp; Restructuring Costs</t>
  </si>
  <si>
    <t>(Income) Loss on Equity Invest.</t>
  </si>
  <si>
    <t>Stock-Based Compensation</t>
  </si>
  <si>
    <t>Net Cash From Discontinued Ops.</t>
  </si>
  <si>
    <t>Other Operating Activities</t>
  </si>
  <si>
    <t>Change in Acc. Receivable</t>
  </si>
  <si>
    <t>Change In Inventories</t>
  </si>
  <si>
    <t>Change in Acc. Payable</t>
  </si>
  <si>
    <t>Change in Other Net Operating Assets</t>
  </si>
  <si>
    <t xml:space="preserve">  Cash from Ops.</t>
  </si>
  <si>
    <t>Sale of Property, Plant, and Equipment</t>
  </si>
  <si>
    <t>Cash Acquisitions</t>
  </si>
  <si>
    <t>Divestitures</t>
  </si>
  <si>
    <t>Sale (Purchase) of Intangible assets</t>
  </si>
  <si>
    <t>Invest. in Marketable &amp; Equity Securt.</t>
  </si>
  <si>
    <t>Net (Inc.) Dec. in Loans Originated/Sold</t>
  </si>
  <si>
    <t>Other Investing Activities</t>
  </si>
  <si>
    <t xml:space="preserve">  Cash from Investing</t>
  </si>
  <si>
    <t>Short Term Debt Issued</t>
  </si>
  <si>
    <t>Long-Term Debt Issued</t>
  </si>
  <si>
    <t>Total Debt Issued</t>
  </si>
  <si>
    <t>Short Term Debt Repaid</t>
  </si>
  <si>
    <t>Long-Term Debt Repaid</t>
  </si>
  <si>
    <t>Total Debt Repaid</t>
  </si>
  <si>
    <t>Issuance of Common Stock</t>
  </si>
  <si>
    <t>Repurchase of Common Stock</t>
  </si>
  <si>
    <t>Common Dividends Paid</t>
  </si>
  <si>
    <t>Total Dividends Paid</t>
  </si>
  <si>
    <t>Special Dividend Paid</t>
  </si>
  <si>
    <t>Other Financing Activities</t>
  </si>
  <si>
    <t xml:space="preserve">  Cash from Financing</t>
  </si>
  <si>
    <t>Foreign Exchange Rate Adj.</t>
  </si>
  <si>
    <t>Misc. Cash Flow Adj.</t>
  </si>
  <si>
    <t xml:space="preserve">  Net Change in Cash</t>
  </si>
  <si>
    <t>Cash Interest Paid</t>
  </si>
  <si>
    <t>Cash Taxes Paid</t>
  </si>
  <si>
    <t>Levered Free Cash Flow</t>
  </si>
  <si>
    <t>Unlevered Free Cash Flow</t>
  </si>
  <si>
    <t>Change in Net Working Capital</t>
  </si>
  <si>
    <t>Net Debt Issued</t>
  </si>
  <si>
    <t>Forecasted Income Statement</t>
  </si>
  <si>
    <t xml:space="preserve">Method </t>
  </si>
  <si>
    <t>Justification</t>
  </si>
  <si>
    <t>Currency                                                EUR Million</t>
  </si>
  <si>
    <t>Linear forecast</t>
  </si>
  <si>
    <t>Find the trend of the expansion of Total Sales</t>
  </si>
  <si>
    <t>Total Sales (excl. metal prices)</t>
  </si>
  <si>
    <t>Cost of goods sold</t>
  </si>
  <si>
    <t>SG&amp;A</t>
  </si>
  <si>
    <t xml:space="preserve">Other income </t>
  </si>
  <si>
    <t>FCF</t>
  </si>
  <si>
    <t>Total Operating expenses</t>
  </si>
  <si>
    <t>Comparables</t>
  </si>
  <si>
    <t>Project</t>
  </si>
  <si>
    <t>Depriciation &amp; Amortization</t>
  </si>
  <si>
    <t xml:space="preserve">EBIT/Sales </t>
  </si>
  <si>
    <t>Interest income</t>
  </si>
  <si>
    <t>Interest expenses</t>
  </si>
  <si>
    <t>Other financial income/(expenses)</t>
  </si>
  <si>
    <t>Total Financial expenses</t>
  </si>
  <si>
    <t>EBT</t>
  </si>
  <si>
    <t>Income taxes</t>
  </si>
  <si>
    <t>Tax rate</t>
  </si>
  <si>
    <t>Net income</t>
  </si>
  <si>
    <t>Total debt</t>
  </si>
  <si>
    <t>Ratio</t>
  </si>
  <si>
    <t>cost of goods sold/total sales</t>
  </si>
  <si>
    <t>Relatively stable with a small trend to expand, goes along with the growth rate</t>
  </si>
  <si>
    <t>SG&amp;A/total sales</t>
  </si>
  <si>
    <t>Relatively stable with a small trend to decrease, goes along with the growth rate</t>
  </si>
  <si>
    <t>Other income/Total sales</t>
  </si>
  <si>
    <t>D&amp;A/ Total sales</t>
  </si>
  <si>
    <t>interest income/total debt</t>
  </si>
  <si>
    <t>interest expenses/total debt</t>
  </si>
  <si>
    <t>other financial income/total debt</t>
  </si>
  <si>
    <t>income taxes/EBT</t>
  </si>
  <si>
    <t>Forecasted Balance sheet</t>
  </si>
  <si>
    <t>Currency                                                  EUR Million</t>
  </si>
  <si>
    <t>Total assets</t>
  </si>
  <si>
    <t>Non-current assets</t>
  </si>
  <si>
    <t xml:space="preserve">Intangible assets </t>
  </si>
  <si>
    <t>PPE</t>
  </si>
  <si>
    <t>Investmenst accounted for using the equity method</t>
  </si>
  <si>
    <t>Available-for-sale financial assets</t>
  </si>
  <si>
    <t>Financial assets at fair value throug OCI</t>
  </si>
  <si>
    <t>Loans granted</t>
  </si>
  <si>
    <t>Trade and other receivables</t>
  </si>
  <si>
    <t>Deferred tax assets</t>
  </si>
  <si>
    <t>Current assets</t>
  </si>
  <si>
    <t>Inventories</t>
  </si>
  <si>
    <t>Income tax receivables</t>
  </si>
  <si>
    <t xml:space="preserve">Cash and cash equivalents </t>
  </si>
  <si>
    <t>Assets of discontinued operations</t>
  </si>
  <si>
    <t>Total liabilities and equity</t>
  </si>
  <si>
    <t>Total shareholders' equity</t>
  </si>
  <si>
    <t>Share capital and premiums</t>
  </si>
  <si>
    <t>Retained earnings</t>
  </si>
  <si>
    <t>Currency translation differences and other reserves</t>
  </si>
  <si>
    <t>Treasury shares</t>
  </si>
  <si>
    <t>Group's shareholders' equity</t>
  </si>
  <si>
    <t>Minority interest</t>
  </si>
  <si>
    <t>Elements of comprehensive income of discontinued operations</t>
  </si>
  <si>
    <t>Total non-current liabilities</t>
  </si>
  <si>
    <t>Provisions for employee benefits</t>
  </si>
  <si>
    <t>Financial debt</t>
  </si>
  <si>
    <t>Trade and other payables</t>
  </si>
  <si>
    <t xml:space="preserve">Deferred tax liabilities </t>
  </si>
  <si>
    <t xml:space="preserve">Provisions </t>
  </si>
  <si>
    <t>Total current liabilities</t>
  </si>
  <si>
    <t>Income tax payable</t>
  </si>
  <si>
    <t>Provisions</t>
  </si>
  <si>
    <t>Liabilities of discontinued operations</t>
  </si>
  <si>
    <t>Method</t>
  </si>
  <si>
    <t xml:space="preserve">Balance sheet </t>
  </si>
  <si>
    <t>Intangible assets / Total sales</t>
  </si>
  <si>
    <t>Evolutive average</t>
  </si>
  <si>
    <t>To find the main tendency of the last 3 years with a little evolution (we think that this data couldn't stick to a fixed value)</t>
  </si>
  <si>
    <t>PPE / Total sales</t>
  </si>
  <si>
    <t>Investmenst accounted for using the equity method/Total sales</t>
  </si>
  <si>
    <t>Available-for-sale financial assets / Total sales</t>
  </si>
  <si>
    <t>Financial assets at fair value throug OCI / Total sales</t>
  </si>
  <si>
    <t>Fixed average</t>
  </si>
  <si>
    <t>To take the general trend of the last 3 years</t>
  </si>
  <si>
    <t>Loans granted / Total debt</t>
  </si>
  <si>
    <t>Trade and other receivables /  Total sales</t>
  </si>
  <si>
    <t>Median</t>
  </si>
  <si>
    <t>To find a value that doesn't take extreme values in account (like the year 2018 which shows probably the consequences of the investment of 2017)</t>
  </si>
  <si>
    <t>Deferred tax assets / Total sales</t>
  </si>
  <si>
    <t>Inventories / Total revenue</t>
  </si>
  <si>
    <t>Trade and other receivables / Total sales</t>
  </si>
  <si>
    <t>Income tax receivables / Total sales</t>
  </si>
  <si>
    <t>Cash and cash equivalents / Total debt</t>
  </si>
  <si>
    <t>There is no reason Umicore is going to stop one of his activities in the 5 next years</t>
  </si>
  <si>
    <t>Share capital and premiums/ Total debt</t>
  </si>
  <si>
    <t>Retained earnings / Total sales</t>
  </si>
  <si>
    <t>Currency translation differences and other reserves / Total debt</t>
  </si>
  <si>
    <t>Treasury shares / Total sales</t>
  </si>
  <si>
    <t>Group's shareholders' equity/ Total Sales</t>
  </si>
  <si>
    <t>Minority interest / Total Sales</t>
  </si>
  <si>
    <t>Elements of comprehensive income of discontinued operations / Total sales</t>
  </si>
  <si>
    <t>Provisions for employee benefits / Total Sales</t>
  </si>
  <si>
    <t>Financial debt / Total debt</t>
  </si>
  <si>
    <t>Deferred tax liabilities / Total sales</t>
  </si>
  <si>
    <t>Provisions / Total debt</t>
  </si>
  <si>
    <t>Income tax payable / Total sales</t>
  </si>
  <si>
    <t>Liabilities of discontinued operations/ Total sales</t>
  </si>
  <si>
    <t>(Deffered tax asset-Deffered tax liability)/ Total Sales</t>
  </si>
  <si>
    <t>Total sales (excl. metal prices)</t>
  </si>
  <si>
    <t>Taxes paid</t>
  </si>
  <si>
    <t>EBIAT (or NOPAT)</t>
  </si>
  <si>
    <t>Depreciation &amp; amortization</t>
  </si>
  <si>
    <t xml:space="preserve">     Total inventory</t>
  </si>
  <si>
    <t>Average</t>
  </si>
  <si>
    <t xml:space="preserve">See Forecasted Balance Sheet </t>
  </si>
  <si>
    <t xml:space="preserve">     Net receivables</t>
  </si>
  <si>
    <t>See Forecasted Balance Sheet</t>
  </si>
  <si>
    <t xml:space="preserve">     Accounts payable</t>
  </si>
  <si>
    <t xml:space="preserve">     Other current assets</t>
  </si>
  <si>
    <t>Tax receivable / (payable)</t>
  </si>
  <si>
    <t>Deferred tax</t>
  </si>
  <si>
    <t>TOTAL WCR</t>
  </si>
  <si>
    <t xml:space="preserve">     Δ WCR</t>
  </si>
  <si>
    <t>Operational FCF</t>
  </si>
  <si>
    <t xml:space="preserve">Total capital expenditure </t>
  </si>
  <si>
    <t>Evolutive Average</t>
  </si>
  <si>
    <t xml:space="preserve">To find the general trend </t>
  </si>
  <si>
    <t>And 2021 to 2023 from : http://sigma-investments.com/wp-content/uploads/2020/09/Umicore_Pitch.pdf?fbclid=IwAR2bw7g9RmKi8q4l-IwQ9tYsDqeLQf0VcKTnDu5PC8yqC6TPnBjbyWRsFy42F09%2FUmicore_Pitch.pdf%3Ffbclid%3DIwAR2bw7g9RmKi8q4l-IwQ9tYsDqeLQf0VcKTnDu5PC8yqC6TPnBjbyWRsFy4&amp;h=AT2yakyntfTSvSx5V8j_vhTWsY5BvW-H7eFlVCRJGtuD3-P79c4xNsRSQLJ0S0NvZwAG2MmTyOYHqA_UPTV_vVzn3wpUNNZg72a2gANLPiRyR_UDkQe8_hJvjqiIZhVujBnRt5YG8DMTiVkSp53SOA</t>
  </si>
  <si>
    <t>WACC calculations</t>
  </si>
  <si>
    <t>D</t>
  </si>
  <si>
    <t>E</t>
  </si>
  <si>
    <t>E/(D+E)</t>
  </si>
  <si>
    <t>D/(D+E)</t>
  </si>
  <si>
    <t>Rf</t>
  </si>
  <si>
    <t>Beta L</t>
  </si>
  <si>
    <t>Market risk premium</t>
  </si>
  <si>
    <t>Ke</t>
  </si>
  <si>
    <t>Kd</t>
  </si>
  <si>
    <t>t</t>
  </si>
  <si>
    <t>(1-t)</t>
  </si>
  <si>
    <t xml:space="preserve">WACC </t>
  </si>
  <si>
    <t>TV and stock price</t>
  </si>
  <si>
    <t xml:space="preserve">Earnings </t>
  </si>
  <si>
    <t>Dividends</t>
  </si>
  <si>
    <t>Equity</t>
  </si>
  <si>
    <t>growth rate</t>
  </si>
  <si>
    <t>Method 1</t>
  </si>
  <si>
    <t>Perpertual growth</t>
  </si>
  <si>
    <t>Discounted Cashflows</t>
  </si>
  <si>
    <t>CF1</t>
  </si>
  <si>
    <t>CF2</t>
  </si>
  <si>
    <t>CF3</t>
  </si>
  <si>
    <t>CF4</t>
  </si>
  <si>
    <t>CF5</t>
  </si>
  <si>
    <t>Sum of discounted cashflows</t>
  </si>
  <si>
    <t xml:space="preserve">Terminal Value </t>
  </si>
  <si>
    <t>discounted TV</t>
  </si>
  <si>
    <t>Umicore NPV</t>
  </si>
  <si>
    <t>Share price</t>
  </si>
  <si>
    <t xml:space="preserve">Method 2 </t>
  </si>
  <si>
    <t>P/E ratio</t>
  </si>
  <si>
    <t>net income</t>
  </si>
  <si>
    <t>preferred dividends</t>
  </si>
  <si>
    <t>weighted average shares outstanding</t>
  </si>
  <si>
    <t>P/E</t>
  </si>
  <si>
    <t>Terminal Value</t>
  </si>
  <si>
    <t>Umicore market value</t>
  </si>
  <si>
    <t>Dicounted cashflow</t>
  </si>
  <si>
    <t>NPV</t>
  </si>
  <si>
    <t>discounted TV5</t>
  </si>
  <si>
    <t>Cashflow</t>
  </si>
  <si>
    <t>Growth rate (g)</t>
  </si>
  <si>
    <t>Sum</t>
  </si>
  <si>
    <t>NOVEMBER 2021</t>
  </si>
  <si>
    <t>in million</t>
  </si>
  <si>
    <t>Umicore</t>
  </si>
  <si>
    <t>BASF</t>
  </si>
  <si>
    <t>Faurecia</t>
  </si>
  <si>
    <t>Beijing Easpring Material Technology</t>
  </si>
  <si>
    <t>Posco Chemical</t>
  </si>
  <si>
    <t>Johnson Matthey</t>
  </si>
  <si>
    <t>Solvay</t>
  </si>
  <si>
    <t>General figures</t>
  </si>
  <si>
    <t>CNY</t>
  </si>
  <si>
    <t>EUR (Tc=0,14 CNY/EUR) 15 nov</t>
  </si>
  <si>
    <t>KRW</t>
  </si>
  <si>
    <t>EUR TC= 0,00074 KRW/EUR</t>
  </si>
  <si>
    <t>GPB</t>
  </si>
  <si>
    <t xml:space="preserve">EUR TC= 1,19 </t>
  </si>
  <si>
    <t>Market capitalization</t>
  </si>
  <si>
    <t xml:space="preserve">   Number of outsanding shares (M)</t>
  </si>
  <si>
    <t xml:space="preserve">   Current share price (in EUR)</t>
  </si>
  <si>
    <t>Net debt</t>
  </si>
  <si>
    <t xml:space="preserve">Entreprise Value (EV) </t>
  </si>
  <si>
    <t>Performance indicators</t>
  </si>
  <si>
    <t xml:space="preserve">Multiples </t>
  </si>
  <si>
    <t>Mean</t>
  </si>
  <si>
    <t>EV/Revenue</t>
  </si>
  <si>
    <t xml:space="preserve">EV/ EBITDA </t>
  </si>
  <si>
    <t>EV/ EBIT</t>
  </si>
  <si>
    <t>105.66</t>
  </si>
  <si>
    <t>105.67</t>
  </si>
  <si>
    <t xml:space="preserve">Others </t>
  </si>
  <si>
    <t>Employee</t>
  </si>
  <si>
    <t>Revenue/employee</t>
  </si>
  <si>
    <t>Means performance indicators</t>
  </si>
  <si>
    <t>EV/ revenue</t>
  </si>
  <si>
    <t>EV/EBITDA</t>
  </si>
  <si>
    <t>EV/EBIT</t>
  </si>
  <si>
    <t>PE ratio</t>
  </si>
  <si>
    <t>REFERENCE:</t>
  </si>
  <si>
    <t>https://fr.tradingview.com/</t>
  </si>
  <si>
    <t>https://fr.investing.com/</t>
  </si>
  <si>
    <t>https://finance.yahoo.com/</t>
  </si>
  <si>
    <t>Equity Value</t>
  </si>
  <si>
    <t>https://www.basf.com/be/fr.html</t>
  </si>
  <si>
    <t>https://www.faurecia.com/</t>
  </si>
  <si>
    <t>Mean Equity value (Million €)</t>
  </si>
  <si>
    <t>Number of share (Million)</t>
  </si>
  <si>
    <t>Share value (€)</t>
  </si>
  <si>
    <t>USD</t>
  </si>
  <si>
    <t>EUR TC= 0,89</t>
  </si>
  <si>
    <t>Means</t>
  </si>
  <si>
    <t>Others</t>
  </si>
  <si>
    <t>share price V1</t>
  </si>
  <si>
    <t>Mean share price 2020</t>
  </si>
  <si>
    <t>share price V2</t>
  </si>
  <si>
    <t>MEANS</t>
  </si>
  <si>
    <t>Reference</t>
  </si>
  <si>
    <t>Energy and surface technology</t>
  </si>
  <si>
    <t>Other comparable</t>
  </si>
  <si>
    <t>Comparables ratios</t>
  </si>
  <si>
    <t>Beijing Easpring Material Technology</t>
  </si>
  <si>
    <t>Posco chemical</t>
  </si>
  <si>
    <t>Liquidity ratios</t>
  </si>
  <si>
    <t>Current ratio</t>
  </si>
  <si>
    <t>Quick ratio (%)</t>
  </si>
  <si>
    <t>Asset Turnover</t>
  </si>
  <si>
    <t>Activity ratios</t>
  </si>
  <si>
    <t>Inventory turnover</t>
  </si>
  <si>
    <t>Solvency ratios</t>
  </si>
  <si>
    <t>Debt to equity (%)</t>
  </si>
  <si>
    <t>Debt to assets ratio (%)</t>
  </si>
  <si>
    <t>Profitability Ratios</t>
  </si>
  <si>
    <t>return on invested capital (%)</t>
  </si>
  <si>
    <t>return on Equity (ROE) %</t>
  </si>
  <si>
    <t>Earnings per share</t>
  </si>
  <si>
    <t>Return on assets (%)</t>
  </si>
  <si>
    <t>Average cost of a lost-time accident at work in Europe (including hospitalization and lost value due to absence)</t>
  </si>
  <si>
    <t>cost for security trainings in every Umicore plant in europe</t>
  </si>
  <si>
    <t>Wounds and superficial injuries</t>
  </si>
  <si>
    <t>NET PRESENT VALUE (NPV)</t>
  </si>
  <si>
    <t>Bone fractures</t>
  </si>
  <si>
    <t>Poisonings and infections</t>
  </si>
  <si>
    <t>cost for healthy vitamins</t>
  </si>
  <si>
    <t>CF</t>
  </si>
  <si>
    <t>Asphyxiations</t>
  </si>
  <si>
    <t>Effects of sound; vibration and pressure</t>
  </si>
  <si>
    <t>cost for sport subscriptions</t>
  </si>
  <si>
    <t>Shocks</t>
  </si>
  <si>
    <t>Average cost</t>
  </si>
  <si>
    <t>total cost of health &amp; safety improvement (investment)</t>
  </si>
  <si>
    <t>(1+WACC)^2</t>
  </si>
  <si>
    <t>Average number of accidents per year in Europe at Umicore</t>
  </si>
  <si>
    <t>(1+WACC)^3</t>
  </si>
  <si>
    <t>Average cost of accidents at Umicore's european factories per year</t>
  </si>
  <si>
    <t>(1+WACC)^4</t>
  </si>
  <si>
    <t>(1+WACC)^5</t>
  </si>
  <si>
    <t>Umicore value with project</t>
  </si>
  <si>
    <t>total gain for the employees per year when security and health are improved</t>
  </si>
  <si>
    <t xml:space="preserve"> = </t>
  </si>
  <si>
    <t>Share price adjusted</t>
  </si>
  <si>
    <t xml:space="preserve">Accident reduction rate following preventive training </t>
  </si>
  <si>
    <t>Administrative cost (% of healthcare costs) to be added</t>
  </si>
  <si>
    <t>Total revenue of the project</t>
  </si>
  <si>
    <t>Total profitability of the project</t>
  </si>
  <si>
    <t xml:space="preserve">NPV (end 2025) </t>
  </si>
  <si>
    <t>* It is assumed that the effects of the training are active for 4 years. Thus, after 2022, we only have to count vitamins and sports subscriptions in our costs.</t>
  </si>
  <si>
    <t>Gain (actually avoided losses)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</si>
</sst>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 #,##0.00_-;_-* &quot;-&quot;??_-;_-@_-"/>
    <numFmt numFmtId="164" formatCode="_-* #,##0.00\ _€_-;\-* #,##0.00\ _€_-;_-* &quot;-&quot;??\ _€_-;_-@_-"/>
    <numFmt numFmtId="165" formatCode="_(* #,##0.0_);_(* \(#,##0.0\)_)\ ;_(* 0_)"/>
    <numFmt numFmtId="166" formatCode="_(#,##0.0%_);_(\(#,##0.0%\)_);_(#,##0.0%_)"/>
    <numFmt numFmtId="167" formatCode="_(* #,##0.0#_);_(* \(#,##0.0#\)_)\ ;_(* 0_)"/>
    <numFmt numFmtId="168" formatCode="#,##0.0\x"/>
    <numFmt numFmtId="169" formatCode="#,##0.00\x"/>
    <numFmt numFmtId="170" formatCode="_(* #,##0.0##_);_(* \(#,##0.0##\)_)\ ;_(* 0_)"/>
    <numFmt numFmtId="171" formatCode="mmm\-dd\-yyyy"/>
    <numFmt numFmtId="172" formatCode="_(* #,##0_);_(* \(#,##0\)_)\ ;_(* 0_)"/>
    <numFmt numFmtId="173" formatCode="_-* #,##0.0\ _€_-;\-* #,##0.0\ _€_-;_-* &quot;-&quot;?\ _€_-;_-@_-"/>
    <numFmt numFmtId="174" formatCode="_-* #,##0.0000\ _€_-;\-* #,##0.0000\ _€_-;_-* &quot;-&quot;????\ _€_-;_-@_-"/>
    <numFmt numFmtId="175" formatCode="_-* #,##0.0000_-;\-* #,##0.0000_-;_-* &quot;-&quot;??_-;_-@_-"/>
    <numFmt numFmtId="176" formatCode="_-* #,##0.00000_-;\-* #,##0.00000_-;_-* &quot;-&quot;??_-;_-@_-"/>
    <numFmt numFmtId="177" formatCode="_-* #,##0.000000_-;\-* #,##0.000000_-;_-* &quot;-&quot;??_-;_-@_-"/>
    <numFmt numFmtId="178" formatCode="_-* #,##0.000\ _€_-;\-* #,##0.000\ _€_-;_-* &quot;-&quot;????\ _€_-;_-@_-"/>
    <numFmt numFmtId="179" formatCode="_-* #,##0.000_-;\-* #,##0.000_-;_-* &quot;-&quot;??_-;_-@_-"/>
    <numFmt numFmtId="180" formatCode="_(* #,##0.00_);_(* \(#,##0.00\)_)\ ;_(* 0.00_)"/>
    <numFmt numFmtId="181" formatCode="_-* #,##0.00\ _€_-;\-* #,##0.00\ _€_-;_-* &quot;-&quot;????\ _€_-;_-@_-"/>
  </numFmts>
  <fonts count="80">
    <font>
      <sz val="11"/>
      <color theme="1"/>
      <name val="Calibri"/>
      <family val="2"/>
      <scheme val="minor"/>
    </font>
    <font>
      <sz val="12"/>
      <color theme="1"/>
      <name val="Calibri"/>
      <family val="2"/>
      <scheme val="minor"/>
    </font>
    <font>
      <sz val="11"/>
      <color theme="1"/>
      <name val="Calibri"/>
      <family val="2"/>
      <scheme val="minor"/>
    </font>
    <font>
      <b/>
      <sz val="13"/>
      <color indexed="8"/>
      <name val="Verdana"/>
      <family val="2"/>
    </font>
    <font>
      <sz val="8"/>
      <name val="Arial"/>
      <family val="2"/>
    </font>
    <font>
      <i/>
      <sz val="8"/>
      <name val="Arial"/>
      <family val="2"/>
    </font>
    <font>
      <b/>
      <sz val="8"/>
      <name val="Arial"/>
      <family val="2"/>
    </font>
    <font>
      <sz val="8"/>
      <color indexed="8"/>
      <name val="Arial"/>
      <family val="2"/>
    </font>
    <font>
      <b/>
      <sz val="8"/>
      <color indexed="9"/>
      <name val="Verdana"/>
      <family val="2"/>
    </font>
    <font>
      <sz val="1"/>
      <color indexed="9"/>
      <name val="Symbol"/>
      <family val="1"/>
      <charset val="2"/>
    </font>
    <font>
      <b/>
      <sz val="8"/>
      <color indexed="8"/>
      <name val="Arial"/>
      <family val="2"/>
    </font>
    <font>
      <b/>
      <i/>
      <sz val="8"/>
      <color indexed="8"/>
      <name val="Arial"/>
      <family val="2"/>
    </font>
    <font>
      <i/>
      <sz val="8"/>
      <color indexed="8"/>
      <name val="Arial"/>
      <family val="2"/>
    </font>
    <font>
      <b/>
      <u val="double"/>
      <sz val="8"/>
      <color indexed="8"/>
      <name val="Arial"/>
      <family val="2"/>
    </font>
    <font>
      <b/>
      <u/>
      <sz val="8"/>
      <color indexed="8"/>
      <name val="Arial"/>
      <family val="2"/>
    </font>
    <font>
      <sz val="10"/>
      <name val="Arial"/>
      <family val="2"/>
    </font>
    <font>
      <b/>
      <sz val="12"/>
      <color indexed="9"/>
      <name val="Verdana"/>
      <family val="2"/>
    </font>
    <font>
      <sz val="12"/>
      <color indexed="8"/>
      <name val="Arial"/>
      <family val="2"/>
    </font>
    <font>
      <sz val="12"/>
      <color theme="1"/>
      <name val="Calibri"/>
      <family val="2"/>
      <scheme val="minor"/>
    </font>
    <font>
      <b/>
      <sz val="12"/>
      <color indexed="8"/>
      <name val="Arial"/>
      <family val="2"/>
    </font>
    <font>
      <sz val="12"/>
      <name val="Arial"/>
      <family val="2"/>
    </font>
    <font>
      <b/>
      <i/>
      <sz val="10"/>
      <color indexed="8"/>
      <name val="Arial"/>
      <family val="2"/>
    </font>
    <font>
      <b/>
      <sz val="12"/>
      <color rgb="FF0070C0"/>
      <name val="Calibri"/>
      <family val="2"/>
      <scheme val="minor"/>
    </font>
    <font>
      <sz val="12"/>
      <name val="Calibri"/>
      <family val="2"/>
      <scheme val="minor"/>
    </font>
    <font>
      <sz val="12"/>
      <color theme="0" tint="-0.249977111117893"/>
      <name val="Calibri"/>
      <family val="2"/>
      <scheme val="minor"/>
    </font>
    <font>
      <b/>
      <sz val="12"/>
      <color theme="1"/>
      <name val="Calibri"/>
      <family val="2"/>
      <scheme val="minor"/>
    </font>
    <font>
      <b/>
      <sz val="12"/>
      <color theme="1"/>
      <name val="Calibri Light"/>
      <family val="2"/>
      <scheme val="major"/>
    </font>
    <font>
      <i/>
      <sz val="12"/>
      <color theme="1"/>
      <name val="Calibri Light"/>
      <family val="2"/>
      <scheme val="major"/>
    </font>
    <font>
      <b/>
      <i/>
      <sz val="12"/>
      <color theme="1"/>
      <name val="Calibri Light"/>
      <family val="2"/>
      <scheme val="major"/>
    </font>
    <font>
      <b/>
      <sz val="8"/>
      <color indexed="81"/>
      <name val="Tahoma"/>
      <family val="2"/>
    </font>
    <font>
      <sz val="8"/>
      <color indexed="81"/>
      <name val="Tahoma"/>
      <family val="2"/>
    </font>
    <font>
      <i/>
      <sz val="12"/>
      <color theme="0" tint="-0.499984740745262"/>
      <name val="Calibri"/>
      <family val="2"/>
      <scheme val="minor"/>
    </font>
    <font>
      <sz val="12"/>
      <color indexed="8"/>
      <name val="Calibri"/>
      <family val="2"/>
      <scheme val="minor"/>
    </font>
    <font>
      <u/>
      <sz val="11"/>
      <color theme="10"/>
      <name val="Calibri"/>
      <family val="2"/>
      <scheme val="minor"/>
    </font>
    <font>
      <sz val="11"/>
      <color theme="0"/>
      <name val="Calibri"/>
      <family val="2"/>
      <scheme val="minor"/>
    </font>
    <font>
      <sz val="11"/>
      <color rgb="FF006100"/>
      <name val="Calibri"/>
      <family val="2"/>
      <scheme val="minor"/>
    </font>
    <font>
      <b/>
      <sz val="16"/>
      <color indexed="9"/>
      <name val="Verdana"/>
      <family val="2"/>
    </font>
    <font>
      <b/>
      <i/>
      <sz val="12"/>
      <color indexed="8"/>
      <name val="Arial"/>
      <family val="2"/>
    </font>
    <font>
      <b/>
      <sz val="12"/>
      <color theme="1"/>
      <name val="Arial"/>
      <family val="2"/>
    </font>
    <font>
      <sz val="14"/>
      <color theme="1"/>
      <name val="Calibri"/>
      <family val="2"/>
      <scheme val="minor"/>
    </font>
    <font>
      <sz val="11"/>
      <color theme="1"/>
      <name val="Verdana"/>
      <family val="2"/>
    </font>
    <font>
      <sz val="12"/>
      <color theme="1"/>
      <name val="Verdana"/>
      <family val="2"/>
    </font>
    <font>
      <u/>
      <sz val="12"/>
      <color theme="10"/>
      <name val="Verdana"/>
      <family val="2"/>
    </font>
    <font>
      <sz val="14"/>
      <color theme="1"/>
      <name val="Arial"/>
      <family val="2"/>
    </font>
    <font>
      <sz val="11"/>
      <color theme="1"/>
      <name val="Arial"/>
      <family val="2"/>
    </font>
    <font>
      <sz val="14"/>
      <color rgb="FF262626"/>
      <name val="Arial"/>
      <family val="2"/>
    </font>
    <font>
      <sz val="14"/>
      <color rgb="FF000000"/>
      <name val="Arial"/>
      <family val="2"/>
    </font>
    <font>
      <sz val="12"/>
      <color rgb="FF000000"/>
      <name val="Arial"/>
      <family val="2"/>
    </font>
    <font>
      <b/>
      <sz val="16"/>
      <color theme="0"/>
      <name val="Verdana"/>
      <family val="2"/>
    </font>
    <font>
      <sz val="12"/>
      <color theme="1"/>
      <name val="Arial"/>
      <family val="2"/>
    </font>
    <font>
      <b/>
      <sz val="14"/>
      <color theme="1"/>
      <name val="Calibri"/>
      <family val="2"/>
      <scheme val="minor"/>
    </font>
    <font>
      <b/>
      <sz val="14"/>
      <color rgb="FF000000"/>
      <name val="Arial"/>
      <family val="2"/>
    </font>
    <font>
      <b/>
      <sz val="15"/>
      <color theme="1"/>
      <name val="Calibri"/>
      <family val="2"/>
      <scheme val="minor"/>
    </font>
    <font>
      <sz val="15"/>
      <color theme="1"/>
      <name val="Arial"/>
      <family val="2"/>
    </font>
    <font>
      <b/>
      <sz val="15"/>
      <color rgb="FF000000"/>
      <name val="Arial"/>
      <family val="2"/>
    </font>
    <font>
      <b/>
      <sz val="15"/>
      <color theme="1"/>
      <name val="Arial"/>
      <family val="2"/>
    </font>
    <font>
      <b/>
      <sz val="15"/>
      <color rgb="FF000000"/>
      <name val="Calibri"/>
      <family val="2"/>
      <scheme val="minor"/>
    </font>
    <font>
      <i/>
      <sz val="12"/>
      <color theme="1"/>
      <name val="Arial"/>
      <family val="2"/>
    </font>
    <font>
      <b/>
      <sz val="12"/>
      <color theme="1"/>
      <name val="Verdana"/>
      <family val="2"/>
    </font>
    <font>
      <sz val="12"/>
      <name val="Verdana"/>
      <family val="2"/>
    </font>
    <font>
      <b/>
      <i/>
      <sz val="12"/>
      <color theme="1"/>
      <name val="Arial"/>
      <family val="2"/>
    </font>
    <font>
      <sz val="11"/>
      <color rgb="FF000000"/>
      <name val="Arial"/>
      <family val="2"/>
    </font>
    <font>
      <b/>
      <sz val="11"/>
      <color rgb="FF000000"/>
      <name val="Arial"/>
      <family val="2"/>
    </font>
    <font>
      <sz val="15"/>
      <color rgb="FF000000"/>
      <name val="Arial"/>
      <family val="2"/>
    </font>
    <font>
      <b/>
      <sz val="25"/>
      <color theme="1"/>
      <name val="Calibri"/>
      <family val="2"/>
      <scheme val="minor"/>
    </font>
    <font>
      <sz val="12"/>
      <color rgb="FF006100"/>
      <name val="Arial"/>
      <family val="2"/>
    </font>
    <font>
      <sz val="14"/>
      <color rgb="FF202124"/>
      <name val="Arial"/>
      <family val="2"/>
    </font>
    <font>
      <sz val="10"/>
      <color theme="1"/>
      <name val="ArialMT"/>
    </font>
    <font>
      <sz val="14"/>
      <color rgb="FF333333"/>
      <name val="Arial"/>
      <family val="2"/>
    </font>
    <font>
      <sz val="11"/>
      <color rgb="FFFF0000"/>
      <name val="Arial"/>
      <family val="2"/>
    </font>
    <font>
      <sz val="9"/>
      <color indexed="81"/>
      <name val="Tahoma"/>
      <family val="2"/>
    </font>
    <font>
      <b/>
      <sz val="20"/>
      <color theme="1"/>
      <name val="Arial"/>
      <family val="2"/>
    </font>
    <font>
      <sz val="11"/>
      <color rgb="FF000000"/>
      <name val="Calibri"/>
      <family val="2"/>
      <scheme val="minor"/>
    </font>
    <font>
      <sz val="14"/>
      <color rgb="FF000000"/>
      <name val="Calibri"/>
      <family val="2"/>
      <scheme val="minor"/>
    </font>
    <font>
      <b/>
      <sz val="25"/>
      <color theme="1"/>
      <name val="Arial"/>
      <family val="2"/>
    </font>
    <font>
      <sz val="12"/>
      <color rgb="FF181818"/>
      <name val="Arial"/>
      <family val="2"/>
    </font>
    <font>
      <b/>
      <sz val="10"/>
      <color rgb="FF000000"/>
      <name val="Verdana"/>
      <family val="2"/>
    </font>
    <font>
      <b/>
      <sz val="9"/>
      <color indexed="81"/>
      <name val="Tahoma"/>
      <family val="2"/>
    </font>
    <font>
      <sz val="12"/>
      <color rgb="FFC6E0B4"/>
      <name val="Calibri"/>
      <family val="2"/>
      <scheme val="minor"/>
    </font>
    <font>
      <sz val="12"/>
      <color rgb="FF000000"/>
      <name val="Calibri"/>
      <family val="2"/>
      <scheme val="minor"/>
    </font>
  </fonts>
  <fills count="38">
    <fill>
      <patternFill patternType="none"/>
    </fill>
    <fill>
      <patternFill patternType="gray125"/>
    </fill>
    <fill>
      <patternFill patternType="solid">
        <fgColor indexed="56"/>
        <bgColor indexed="64"/>
      </patternFill>
    </fill>
    <fill>
      <patternFill patternType="solid">
        <fgColor indexed="60"/>
        <bgColor indexed="64"/>
      </patternFill>
    </fill>
    <fill>
      <patternFill patternType="solid">
        <fgColor theme="7"/>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patternFill>
    </fill>
    <fill>
      <patternFill patternType="solid">
        <fgColor rgb="FFC6EFCE"/>
      </patternFill>
    </fill>
    <fill>
      <patternFill patternType="solid">
        <fgColor rgb="FFFFFF00"/>
        <bgColor indexed="64"/>
      </patternFill>
    </fill>
    <fill>
      <patternFill patternType="solid">
        <fgColor rgb="FFF4B084"/>
        <bgColor indexed="64"/>
      </patternFill>
    </fill>
    <fill>
      <patternFill patternType="solid">
        <fgColor rgb="FF4472C4"/>
        <bgColor indexed="64"/>
      </patternFill>
    </fill>
    <fill>
      <patternFill patternType="solid">
        <fgColor rgb="FF70AD47"/>
        <bgColor indexed="64"/>
      </patternFill>
    </fill>
    <fill>
      <patternFill patternType="solid">
        <fgColor rgb="FFED7D31"/>
        <bgColor indexed="64"/>
      </patternFill>
    </fill>
    <fill>
      <patternFill patternType="solid">
        <fgColor rgb="FF7EB4C9"/>
        <bgColor indexed="64"/>
      </patternFill>
    </fill>
    <fill>
      <patternFill patternType="solid">
        <fgColor rgb="FF3DA174"/>
        <bgColor indexed="64"/>
      </patternFill>
    </fill>
    <fill>
      <patternFill patternType="solid">
        <fgColor rgb="FF00B050"/>
        <bgColor indexed="64"/>
      </patternFill>
    </fill>
    <fill>
      <patternFill patternType="solid">
        <fgColor theme="0"/>
        <bgColor indexed="64"/>
      </patternFill>
    </fill>
    <fill>
      <patternFill patternType="solid">
        <fgColor rgb="FF7D87B7"/>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rgb="FF49CF9D"/>
        <bgColor indexed="64"/>
      </patternFill>
    </fill>
    <fill>
      <patternFill patternType="solid">
        <fgColor theme="9" tint="0.39997558519241921"/>
        <bgColor indexed="64"/>
      </patternFill>
    </fill>
    <fill>
      <patternFill patternType="solid">
        <fgColor rgb="FFFFF2CC"/>
        <bgColor indexed="64"/>
      </patternFill>
    </fill>
    <fill>
      <patternFill patternType="solid">
        <fgColor rgb="FFFF0000"/>
        <bgColor indexed="64"/>
      </patternFill>
    </fill>
    <fill>
      <patternFill patternType="solid">
        <fgColor rgb="FF1859C9"/>
        <bgColor indexed="64"/>
      </patternFill>
    </fill>
    <fill>
      <patternFill patternType="solid">
        <fgColor rgb="FF00B0F0"/>
        <bgColor indexed="64"/>
      </patternFill>
    </fill>
    <fill>
      <patternFill patternType="solid">
        <fgColor theme="9" tint="0.79998168889431442"/>
        <bgColor indexed="64"/>
      </patternFill>
    </fill>
    <fill>
      <patternFill patternType="solid">
        <fgColor theme="9" tint="0.79998168889431442"/>
        <bgColor rgb="FF000000"/>
      </patternFill>
    </fill>
    <fill>
      <patternFill patternType="solid">
        <fgColor theme="7"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FF"/>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8" tint="0.39997558519241921"/>
        <bgColor indexed="64"/>
      </patternFill>
    </fill>
  </fills>
  <borders count="100">
    <border>
      <left/>
      <right/>
      <top/>
      <bottom/>
      <diagonal/>
    </border>
    <border>
      <left/>
      <right/>
      <top style="thin">
        <color indexed="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style="medium">
        <color indexed="64"/>
      </bottom>
      <diagonal/>
    </border>
    <border>
      <left/>
      <right style="double">
        <color indexed="64"/>
      </right>
      <top/>
      <bottom/>
      <diagonal/>
    </border>
    <border>
      <left/>
      <right style="double">
        <color indexed="64"/>
      </right>
      <top style="thin">
        <color indexed="64"/>
      </top>
      <bottom/>
      <diagonal/>
    </border>
    <border>
      <left style="double">
        <color indexed="64"/>
      </left>
      <right/>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right style="thin">
        <color indexed="64"/>
      </right>
      <top style="medium">
        <color indexed="64"/>
      </top>
      <bottom style="thin">
        <color indexed="64"/>
      </bottom>
      <diagonal/>
    </border>
    <border>
      <left style="double">
        <color indexed="64"/>
      </left>
      <right/>
      <top/>
      <bottom style="medium">
        <color indexed="64"/>
      </bottom>
      <diagonal/>
    </border>
    <border>
      <left/>
      <right/>
      <top style="medium">
        <color indexed="64"/>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style="thin">
        <color indexed="64"/>
      </top>
      <bottom style="medium">
        <color indexed="64"/>
      </bottom>
      <diagonal/>
    </border>
    <border>
      <left style="double">
        <color indexed="64"/>
      </left>
      <right/>
      <top style="thin">
        <color indexed="64"/>
      </top>
      <bottom/>
      <diagonal/>
    </border>
    <border>
      <left style="double">
        <color indexed="64"/>
      </left>
      <right/>
      <top/>
      <bottom/>
      <diagonal/>
    </border>
    <border>
      <left style="double">
        <color indexed="64"/>
      </left>
      <right/>
      <top style="medium">
        <color indexed="64"/>
      </top>
      <bottom/>
      <diagonal/>
    </border>
    <border>
      <left/>
      <right style="double">
        <color indexed="64"/>
      </right>
      <top style="thin">
        <color indexed="64"/>
      </top>
      <bottom style="medium">
        <color indexed="64"/>
      </bottom>
      <diagonal/>
    </border>
    <border>
      <left style="double">
        <color indexed="64"/>
      </left>
      <right/>
      <top style="thin">
        <color indexed="64"/>
      </top>
      <bottom style="medium">
        <color indexed="64"/>
      </bottom>
      <diagonal/>
    </border>
    <border>
      <left style="medium">
        <color indexed="64"/>
      </left>
      <right style="double">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diagonal/>
    </border>
    <border>
      <left/>
      <right style="thin">
        <color auto="1"/>
      </right>
      <top/>
      <bottom style="medium">
        <color indexed="64"/>
      </bottom>
      <diagonal/>
    </border>
    <border>
      <left style="thin">
        <color indexed="64"/>
      </left>
      <right style="thin">
        <color indexed="64"/>
      </right>
      <top style="medium">
        <color indexed="64"/>
      </top>
      <bottom/>
      <diagonal/>
    </border>
    <border>
      <left style="thin">
        <color indexed="64"/>
      </left>
      <right style="double">
        <color auto="1"/>
      </right>
      <top/>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bottom/>
      <diagonal/>
    </border>
  </borders>
  <cellStyleXfs count="9">
    <xf numFmtId="0" fontId="0" fillId="0" borderId="0"/>
    <xf numFmtId="43" fontId="2" fillId="0" borderId="0" applyFont="0" applyFill="0" applyBorder="0" applyAlignment="0" applyProtection="0"/>
    <xf numFmtId="0" fontId="9" fillId="0" borderId="0" applyAlignment="0"/>
    <xf numFmtId="0" fontId="15" fillId="0" borderId="0"/>
    <xf numFmtId="0" fontId="33" fillId="0" borderId="0" applyNumberFormat="0" applyFill="0" applyBorder="0" applyAlignment="0" applyProtection="0"/>
    <xf numFmtId="0" fontId="34" fillId="8" borderId="0" applyNumberFormat="0" applyBorder="0" applyAlignment="0" applyProtection="0"/>
    <xf numFmtId="9" fontId="2" fillId="0" borderId="0" applyFont="0" applyFill="0" applyBorder="0" applyAlignment="0" applyProtection="0"/>
    <xf numFmtId="0" fontId="35" fillId="9" borderId="0" applyNumberFormat="0" applyBorder="0" applyAlignment="0" applyProtection="0"/>
    <xf numFmtId="0" fontId="1" fillId="0" borderId="0"/>
  </cellStyleXfs>
  <cellXfs count="686">
    <xf numFmtId="0" fontId="0" fillId="0" borderId="0" xfId="0"/>
    <xf numFmtId="0" fontId="3" fillId="0" borderId="0" xfId="0" applyFont="1"/>
    <xf numFmtId="0" fontId="4" fillId="0" borderId="0" xfId="0" applyFont="1"/>
    <xf numFmtId="0" fontId="5" fillId="0" borderId="0" xfId="0" applyFont="1" applyAlignment="1">
      <alignment wrapText="1"/>
    </xf>
    <xf numFmtId="0" fontId="6" fillId="0" borderId="0" xfId="0" applyFont="1"/>
    <xf numFmtId="0" fontId="7" fillId="0" borderId="0" xfId="0" applyFont="1" applyAlignment="1">
      <alignment horizontal="left" vertical="top"/>
    </xf>
    <xf numFmtId="49" fontId="4" fillId="0" borderId="0" xfId="0" applyNumberFormat="1" applyFont="1"/>
    <xf numFmtId="0" fontId="8" fillId="2" borderId="0" xfId="0" applyFont="1" applyFill="1"/>
    <xf numFmtId="0" fontId="9" fillId="0" borderId="0" xfId="2" applyAlignment="1"/>
    <xf numFmtId="0" fontId="10" fillId="3" borderId="0" xfId="0" applyFont="1" applyFill="1" applyAlignment="1">
      <alignment wrapText="1"/>
    </xf>
    <xf numFmtId="0" fontId="10" fillId="3" borderId="0" xfId="0" applyFont="1" applyFill="1" applyAlignment="1">
      <alignment horizontal="right" wrapText="1"/>
    </xf>
    <xf numFmtId="0" fontId="11" fillId="3" borderId="0" xfId="0" applyFont="1" applyFill="1" applyAlignment="1">
      <alignment wrapText="1"/>
    </xf>
    <xf numFmtId="0" fontId="11" fillId="3" borderId="0" xfId="0" applyFont="1" applyFill="1" applyAlignment="1">
      <alignment horizontal="right" wrapText="1"/>
    </xf>
    <xf numFmtId="0" fontId="10" fillId="0" borderId="0" xfId="0" applyFont="1" applyAlignment="1">
      <alignment horizontal="left" vertical="top"/>
    </xf>
    <xf numFmtId="165" fontId="10" fillId="0" borderId="0" xfId="0" applyNumberFormat="1" applyFont="1" applyAlignment="1">
      <alignment horizontal="right" vertical="top" wrapText="1"/>
    </xf>
    <xf numFmtId="0" fontId="12" fillId="0" borderId="0" xfId="0" applyFont="1" applyAlignment="1">
      <alignment horizontal="left" vertical="top"/>
    </xf>
    <xf numFmtId="166" fontId="12" fillId="0" borderId="0" xfId="0" applyNumberFormat="1" applyFont="1" applyAlignment="1">
      <alignment horizontal="right" vertical="top" wrapText="1"/>
    </xf>
    <xf numFmtId="167" fontId="10" fillId="0" borderId="0" xfId="0" applyNumberFormat="1" applyFont="1" applyAlignment="1">
      <alignment horizontal="right" vertical="top" wrapText="1"/>
    </xf>
    <xf numFmtId="49" fontId="7" fillId="0" borderId="0" xfId="0" applyNumberFormat="1" applyFont="1" applyAlignment="1">
      <alignment horizontal="right" vertical="top" wrapText="1"/>
    </xf>
    <xf numFmtId="165" fontId="7" fillId="0" borderId="0" xfId="0" applyNumberFormat="1" applyFont="1" applyAlignment="1">
      <alignment horizontal="right" vertical="top" wrapText="1"/>
    </xf>
    <xf numFmtId="0" fontId="4" fillId="0" borderId="0" xfId="0" applyFont="1" applyAlignment="1">
      <alignment vertical="top" wrapText="1"/>
    </xf>
    <xf numFmtId="167" fontId="7" fillId="0" borderId="0" xfId="0" applyNumberFormat="1" applyFont="1" applyAlignment="1">
      <alignment horizontal="right" vertical="top" wrapText="1"/>
    </xf>
    <xf numFmtId="0" fontId="4" fillId="0" borderId="0" xfId="0" applyFont="1" applyAlignment="1">
      <alignment horizontal="center" vertical="top" wrapText="1"/>
    </xf>
    <xf numFmtId="168" fontId="7" fillId="0" borderId="0" xfId="0" applyNumberFormat="1" applyFont="1" applyAlignment="1">
      <alignment horizontal="right" vertical="top" wrapText="1"/>
    </xf>
    <xf numFmtId="169" fontId="7" fillId="0" borderId="0" xfId="0" applyNumberFormat="1" applyFont="1" applyAlignment="1">
      <alignment horizontal="right" vertical="top" wrapText="1"/>
    </xf>
    <xf numFmtId="0" fontId="7" fillId="0" borderId="0" xfId="0" applyFont="1" applyAlignment="1">
      <alignment horizontal="center" vertical="center"/>
    </xf>
    <xf numFmtId="0" fontId="7" fillId="0" borderId="0" xfId="0" applyFont="1" applyAlignment="1">
      <alignment horizontal="left" vertical="center"/>
    </xf>
    <xf numFmtId="165" fontId="10" fillId="0" borderId="1" xfId="0" applyNumberFormat="1" applyFont="1" applyBorder="1" applyAlignment="1">
      <alignment horizontal="right" vertical="top" wrapText="1"/>
    </xf>
    <xf numFmtId="165" fontId="13" fillId="0" borderId="1" xfId="0" applyNumberFormat="1" applyFont="1" applyBorder="1" applyAlignment="1">
      <alignment horizontal="right" vertical="top" wrapText="1"/>
    </xf>
    <xf numFmtId="166" fontId="7" fillId="0" borderId="0" xfId="0" applyNumberFormat="1" applyFont="1" applyAlignment="1">
      <alignment horizontal="right" vertical="top" wrapText="1"/>
    </xf>
    <xf numFmtId="170" fontId="7" fillId="0" borderId="0" xfId="0" applyNumberFormat="1" applyFont="1" applyAlignment="1">
      <alignment horizontal="right" vertical="top" wrapText="1"/>
    </xf>
    <xf numFmtId="171" fontId="7" fillId="0" borderId="0" xfId="0" applyNumberFormat="1" applyFont="1" applyAlignment="1">
      <alignment horizontal="right" vertical="top" wrapText="1"/>
    </xf>
    <xf numFmtId="0" fontId="4" fillId="0" borderId="0" xfId="0" applyFont="1" applyAlignment="1">
      <alignment vertical="top"/>
    </xf>
    <xf numFmtId="171" fontId="10" fillId="3" borderId="0" xfId="0" applyNumberFormat="1" applyFont="1" applyFill="1" applyAlignment="1">
      <alignment horizontal="right" wrapText="1"/>
    </xf>
    <xf numFmtId="165" fontId="14" fillId="0" borderId="0" xfId="0" applyNumberFormat="1" applyFont="1" applyAlignment="1">
      <alignment horizontal="right" vertical="top" wrapText="1"/>
    </xf>
    <xf numFmtId="165" fontId="13" fillId="0" borderId="0" xfId="0" applyNumberFormat="1" applyFont="1" applyAlignment="1">
      <alignment horizontal="right" vertical="top" wrapText="1"/>
    </xf>
    <xf numFmtId="172" fontId="7" fillId="0" borderId="0" xfId="0" applyNumberFormat="1" applyFont="1" applyAlignment="1">
      <alignment horizontal="right" vertical="top" wrapText="1"/>
    </xf>
    <xf numFmtId="0" fontId="7" fillId="0" borderId="0" xfId="0" applyFont="1" applyAlignment="1">
      <alignment horizontal="center" vertical="center" wrapText="1"/>
    </xf>
    <xf numFmtId="0" fontId="20" fillId="0" borderId="8" xfId="3" applyFont="1" applyBorder="1"/>
    <xf numFmtId="0" fontId="18" fillId="0" borderId="0" xfId="0" applyFont="1"/>
    <xf numFmtId="172" fontId="22" fillId="0" borderId="0" xfId="1" applyNumberFormat="1" applyFont="1" applyFill="1" applyBorder="1"/>
    <xf numFmtId="0" fontId="19" fillId="7" borderId="6" xfId="3" applyFont="1" applyFill="1" applyBorder="1" applyAlignment="1">
      <alignment horizontal="left" vertical="center" indent="1"/>
    </xf>
    <xf numFmtId="172" fontId="17" fillId="7" borderId="6" xfId="1" applyNumberFormat="1" applyFont="1" applyFill="1" applyBorder="1" applyAlignment="1">
      <alignment horizontal="left" vertical="center" wrapText="1"/>
    </xf>
    <xf numFmtId="172" fontId="24" fillId="0" borderId="0" xfId="1" applyNumberFormat="1" applyFont="1" applyFill="1" applyBorder="1"/>
    <xf numFmtId="172" fontId="25" fillId="0" borderId="0" xfId="1" applyNumberFormat="1" applyFont="1" applyFill="1" applyBorder="1"/>
    <xf numFmtId="172" fontId="17" fillId="7" borderId="6" xfId="3" applyNumberFormat="1" applyFont="1" applyFill="1" applyBorder="1" applyAlignment="1">
      <alignment horizontal="right" vertical="center"/>
    </xf>
    <xf numFmtId="0" fontId="31" fillId="0" borderId="0" xfId="0" applyFont="1"/>
    <xf numFmtId="173" fontId="4" fillId="0" borderId="0" xfId="0" applyNumberFormat="1" applyFont="1"/>
    <xf numFmtId="9" fontId="0" fillId="0" borderId="0" xfId="0" applyNumberFormat="1"/>
    <xf numFmtId="172" fontId="0" fillId="0" borderId="0" xfId="0" applyNumberFormat="1"/>
    <xf numFmtId="10" fontId="0" fillId="0" borderId="0" xfId="0" applyNumberFormat="1"/>
    <xf numFmtId="0" fontId="17" fillId="0" borderId="8" xfId="3" applyFont="1" applyBorder="1" applyAlignment="1">
      <alignment vertical="top"/>
    </xf>
    <xf numFmtId="0" fontId="0" fillId="0" borderId="9" xfId="0" applyBorder="1"/>
    <xf numFmtId="0" fontId="0" fillId="0" borderId="4" xfId="0" applyBorder="1"/>
    <xf numFmtId="172" fontId="22" fillId="0" borderId="21" xfId="1" applyNumberFormat="1" applyFont="1" applyFill="1" applyBorder="1"/>
    <xf numFmtId="172" fontId="17" fillId="7" borderId="19" xfId="1" applyNumberFormat="1" applyFont="1" applyFill="1" applyBorder="1" applyAlignment="1">
      <alignment horizontal="left" vertical="center" wrapText="1"/>
    </xf>
    <xf numFmtId="165" fontId="32" fillId="0" borderId="21" xfId="0" quotePrefix="1" applyNumberFormat="1" applyFont="1" applyBorder="1" applyAlignment="1">
      <alignment wrapText="1"/>
    </xf>
    <xf numFmtId="172" fontId="23" fillId="0" borderId="21" xfId="1" applyNumberFormat="1" applyFont="1" applyFill="1" applyBorder="1"/>
    <xf numFmtId="172" fontId="24" fillId="0" borderId="21" xfId="1" applyNumberFormat="1" applyFont="1" applyFill="1" applyBorder="1"/>
    <xf numFmtId="172" fontId="25" fillId="0" borderId="21" xfId="1" applyNumberFormat="1" applyFont="1" applyFill="1" applyBorder="1"/>
    <xf numFmtId="176" fontId="0" fillId="0" borderId="0" xfId="0" applyNumberFormat="1"/>
    <xf numFmtId="0" fontId="17" fillId="0" borderId="0" xfId="3" applyFont="1" applyAlignment="1">
      <alignment vertical="top"/>
    </xf>
    <xf numFmtId="43" fontId="17" fillId="7" borderId="6" xfId="1" applyFont="1" applyFill="1" applyBorder="1" applyAlignment="1">
      <alignment horizontal="left" vertical="center" wrapText="1"/>
    </xf>
    <xf numFmtId="43" fontId="17" fillId="7" borderId="19" xfId="1" applyFont="1" applyFill="1" applyBorder="1" applyAlignment="1">
      <alignment horizontal="left" vertical="center" wrapText="1"/>
    </xf>
    <xf numFmtId="176" fontId="25" fillId="0" borderId="21" xfId="1" applyNumberFormat="1" applyFont="1" applyBorder="1"/>
    <xf numFmtId="176" fontId="17" fillId="7" borderId="6" xfId="1" applyNumberFormat="1" applyFont="1" applyFill="1" applyBorder="1" applyAlignment="1">
      <alignment horizontal="left" vertical="center" wrapText="1"/>
    </xf>
    <xf numFmtId="176" fontId="17" fillId="7" borderId="19" xfId="1" applyNumberFormat="1" applyFont="1" applyFill="1" applyBorder="1" applyAlignment="1">
      <alignment horizontal="left" vertical="center" wrapText="1"/>
    </xf>
    <xf numFmtId="177" fontId="19" fillId="7" borderId="6" xfId="3" applyNumberFormat="1" applyFont="1" applyFill="1" applyBorder="1" applyAlignment="1">
      <alignment horizontal="left" vertical="center" indent="1"/>
    </xf>
    <xf numFmtId="177" fontId="19" fillId="7" borderId="19" xfId="3" applyNumberFormat="1" applyFont="1" applyFill="1" applyBorder="1" applyAlignment="1">
      <alignment horizontal="left" vertical="center" indent="1"/>
    </xf>
    <xf numFmtId="0" fontId="0" fillId="0" borderId="21" xfId="0" applyBorder="1"/>
    <xf numFmtId="0" fontId="0" fillId="0" borderId="6" xfId="0" applyBorder="1"/>
    <xf numFmtId="175" fontId="0" fillId="0" borderId="0" xfId="0" applyNumberFormat="1"/>
    <xf numFmtId="172" fontId="38" fillId="6" borderId="11" xfId="1" applyNumberFormat="1" applyFont="1" applyFill="1" applyBorder="1" applyAlignment="1">
      <alignment horizontal="right" vertical="top"/>
    </xf>
    <xf numFmtId="172" fontId="38" fillId="6" borderId="20" xfId="1" applyNumberFormat="1" applyFont="1" applyFill="1" applyBorder="1" applyAlignment="1">
      <alignment horizontal="right" vertical="top"/>
    </xf>
    <xf numFmtId="0" fontId="38" fillId="6" borderId="11" xfId="3" applyFont="1" applyFill="1" applyBorder="1" applyAlignment="1">
      <alignment horizontal="left" vertical="top"/>
    </xf>
    <xf numFmtId="0" fontId="21" fillId="5" borderId="8" xfId="3" applyFont="1" applyFill="1" applyBorder="1" applyAlignment="1">
      <alignment wrapText="1"/>
    </xf>
    <xf numFmtId="172" fontId="38" fillId="6" borderId="10" xfId="1" applyNumberFormat="1" applyFont="1" applyFill="1" applyBorder="1" applyAlignment="1">
      <alignment horizontal="right" vertical="top"/>
    </xf>
    <xf numFmtId="0" fontId="22" fillId="0" borderId="8" xfId="0" applyFont="1" applyBorder="1"/>
    <xf numFmtId="172" fontId="17" fillId="7" borderId="5" xfId="1" applyNumberFormat="1" applyFont="1" applyFill="1" applyBorder="1" applyAlignment="1">
      <alignment horizontal="left" vertical="center" wrapText="1"/>
    </xf>
    <xf numFmtId="172" fontId="23" fillId="0" borderId="8" xfId="0" applyNumberFormat="1" applyFont="1" applyBorder="1"/>
    <xf numFmtId="0" fontId="19" fillId="7" borderId="5" xfId="3" applyFont="1" applyFill="1" applyBorder="1" applyAlignment="1">
      <alignment horizontal="left" vertical="center" indent="1"/>
    </xf>
    <xf numFmtId="172" fontId="25" fillId="0" borderId="8" xfId="1" applyNumberFormat="1" applyFont="1" applyFill="1" applyBorder="1"/>
    <xf numFmtId="43" fontId="17" fillId="7" borderId="5" xfId="1" applyFont="1" applyFill="1" applyBorder="1" applyAlignment="1">
      <alignment horizontal="left" vertical="center" wrapText="1"/>
    </xf>
    <xf numFmtId="176" fontId="25" fillId="0" borderId="8" xfId="1" applyNumberFormat="1" applyFont="1" applyBorder="1"/>
    <xf numFmtId="176" fontId="17" fillId="7" borderId="5" xfId="1" applyNumberFormat="1" applyFont="1" applyFill="1" applyBorder="1" applyAlignment="1">
      <alignment horizontal="left" vertical="center" wrapText="1"/>
    </xf>
    <xf numFmtId="0" fontId="38" fillId="4" borderId="16" xfId="3" applyFont="1" applyFill="1" applyBorder="1"/>
    <xf numFmtId="0" fontId="38" fillId="4" borderId="16" xfId="3" applyFont="1" applyFill="1" applyBorder="1" applyAlignment="1">
      <alignment horizontal="right" wrapText="1"/>
    </xf>
    <xf numFmtId="0" fontId="36" fillId="4" borderId="27" xfId="3" applyFont="1" applyFill="1" applyBorder="1" applyAlignment="1">
      <alignment wrapText="1"/>
    </xf>
    <xf numFmtId="0" fontId="16" fillId="4" borderId="28" xfId="3" applyFont="1" applyFill="1" applyBorder="1"/>
    <xf numFmtId="0" fontId="38" fillId="4" borderId="31" xfId="3" applyFont="1" applyFill="1" applyBorder="1" applyAlignment="1">
      <alignment horizontal="right" wrapText="1"/>
    </xf>
    <xf numFmtId="0" fontId="37" fillId="5" borderId="30" xfId="3" applyFont="1" applyFill="1" applyBorder="1" applyAlignment="1">
      <alignment wrapText="1"/>
    </xf>
    <xf numFmtId="0" fontId="21" fillId="5" borderId="0" xfId="3" applyFont="1" applyFill="1" applyAlignment="1">
      <alignment wrapText="1"/>
    </xf>
    <xf numFmtId="0" fontId="37" fillId="5" borderId="32" xfId="3" applyFont="1" applyFill="1" applyBorder="1" applyAlignment="1">
      <alignment horizontal="right"/>
    </xf>
    <xf numFmtId="0" fontId="38" fillId="6" borderId="33" xfId="3" applyFont="1" applyFill="1" applyBorder="1" applyAlignment="1">
      <alignment horizontal="left" vertical="top"/>
    </xf>
    <xf numFmtId="172" fontId="38" fillId="6" borderId="34" xfId="1" applyNumberFormat="1" applyFont="1" applyFill="1" applyBorder="1" applyAlignment="1">
      <alignment horizontal="right" vertical="top"/>
    </xf>
    <xf numFmtId="0" fontId="22" fillId="0" borderId="30" xfId="0" applyFont="1" applyBorder="1"/>
    <xf numFmtId="0" fontId="22" fillId="0" borderId="0" xfId="0" applyFont="1"/>
    <xf numFmtId="172" fontId="22" fillId="0" borderId="0" xfId="1" applyNumberFormat="1" applyFont="1" applyBorder="1"/>
    <xf numFmtId="172" fontId="22" fillId="0" borderId="32" xfId="1" applyNumberFormat="1" applyFont="1" applyBorder="1"/>
    <xf numFmtId="0" fontId="19" fillId="7" borderId="35" xfId="3" applyFont="1" applyFill="1" applyBorder="1" applyAlignment="1">
      <alignment horizontal="left" vertical="center" indent="1"/>
    </xf>
    <xf numFmtId="172" fontId="23" fillId="0" borderId="0" xfId="0" applyNumberFormat="1" applyFont="1"/>
    <xf numFmtId="172" fontId="24" fillId="0" borderId="0" xfId="1" applyNumberFormat="1" applyFont="1" applyBorder="1"/>
    <xf numFmtId="172" fontId="24" fillId="0" borderId="32" xfId="1" applyNumberFormat="1" applyFont="1" applyBorder="1"/>
    <xf numFmtId="0" fontId="25" fillId="0" borderId="30" xfId="0" applyFont="1" applyBorder="1"/>
    <xf numFmtId="0" fontId="19" fillId="7" borderId="33" xfId="3" applyFont="1" applyFill="1" applyBorder="1" applyAlignment="1">
      <alignment horizontal="left" vertical="center" indent="1"/>
    </xf>
    <xf numFmtId="172" fontId="17" fillId="7" borderId="10" xfId="3" applyNumberFormat="1" applyFont="1" applyFill="1" applyBorder="1" applyAlignment="1">
      <alignment horizontal="left" vertical="center"/>
    </xf>
    <xf numFmtId="172" fontId="17" fillId="7" borderId="11" xfId="1" applyNumberFormat="1" applyFont="1" applyFill="1" applyBorder="1" applyAlignment="1">
      <alignment horizontal="left" vertical="center" wrapText="1"/>
    </xf>
    <xf numFmtId="172" fontId="17" fillId="7" borderId="20" xfId="1" applyNumberFormat="1" applyFont="1" applyFill="1" applyBorder="1" applyAlignment="1">
      <alignment horizontal="left" vertical="center" wrapText="1"/>
    </xf>
    <xf numFmtId="0" fontId="38" fillId="4" borderId="38" xfId="3" applyFont="1" applyFill="1" applyBorder="1"/>
    <xf numFmtId="0" fontId="38" fillId="4" borderId="38" xfId="3" applyFont="1" applyFill="1" applyBorder="1" applyAlignment="1">
      <alignment horizontal="right" wrapText="1"/>
    </xf>
    <xf numFmtId="0" fontId="38" fillId="4" borderId="37" xfId="3" applyFont="1" applyFill="1" applyBorder="1" applyAlignment="1">
      <alignment horizontal="right" wrapText="1"/>
    </xf>
    <xf numFmtId="0" fontId="38" fillId="4" borderId="40" xfId="3" applyFont="1" applyFill="1" applyBorder="1" applyAlignment="1">
      <alignment horizontal="right" wrapText="1"/>
    </xf>
    <xf numFmtId="0" fontId="38" fillId="4" borderId="39" xfId="3" applyFont="1" applyFill="1" applyBorder="1" applyAlignment="1">
      <alignment horizontal="right" wrapText="1"/>
    </xf>
    <xf numFmtId="43" fontId="17" fillId="7" borderId="36" xfId="1" applyFont="1" applyFill="1" applyBorder="1" applyAlignment="1">
      <alignment horizontal="left" vertical="center" wrapText="1"/>
    </xf>
    <xf numFmtId="176" fontId="0" fillId="0" borderId="32" xfId="0" applyNumberFormat="1" applyBorder="1"/>
    <xf numFmtId="176" fontId="23" fillId="0" borderId="0" xfId="1" applyNumberFormat="1" applyFont="1" applyBorder="1"/>
    <xf numFmtId="177" fontId="19" fillId="7" borderId="36" xfId="3" applyNumberFormat="1" applyFont="1" applyFill="1" applyBorder="1" applyAlignment="1">
      <alignment horizontal="left" vertical="center" indent="1"/>
    </xf>
    <xf numFmtId="176" fontId="25" fillId="0" borderId="0" xfId="1" applyNumberFormat="1" applyFont="1" applyBorder="1"/>
    <xf numFmtId="0" fontId="36" fillId="4" borderId="43" xfId="3" applyFont="1" applyFill="1" applyBorder="1"/>
    <xf numFmtId="0" fontId="38" fillId="4" borderId="18" xfId="3" applyFont="1" applyFill="1" applyBorder="1" applyAlignment="1">
      <alignment horizontal="right" wrapText="1"/>
    </xf>
    <xf numFmtId="0" fontId="38" fillId="4" borderId="17" xfId="3" applyFont="1" applyFill="1" applyBorder="1" applyAlignment="1">
      <alignment horizontal="right" wrapText="1"/>
    </xf>
    <xf numFmtId="176" fontId="19" fillId="7" borderId="5" xfId="3" applyNumberFormat="1" applyFont="1" applyFill="1" applyBorder="1" applyAlignment="1">
      <alignment horizontal="left" vertical="center" indent="1"/>
    </xf>
    <xf numFmtId="176" fontId="19" fillId="7" borderId="6" xfId="3" applyNumberFormat="1" applyFont="1" applyFill="1" applyBorder="1" applyAlignment="1">
      <alignment horizontal="left" vertical="center" indent="1"/>
    </xf>
    <xf numFmtId="179" fontId="25" fillId="0" borderId="0" xfId="1" applyNumberFormat="1" applyFont="1" applyBorder="1"/>
    <xf numFmtId="0" fontId="0" fillId="0" borderId="42" xfId="0" applyBorder="1"/>
    <xf numFmtId="0" fontId="16" fillId="4" borderId="27" xfId="3" applyFont="1" applyFill="1" applyBorder="1"/>
    <xf numFmtId="0" fontId="16" fillId="4" borderId="29" xfId="3" applyFont="1" applyFill="1" applyBorder="1"/>
    <xf numFmtId="0" fontId="17" fillId="0" borderId="30" xfId="3" applyFont="1" applyBorder="1" applyAlignment="1">
      <alignment horizontal="left" vertical="top"/>
    </xf>
    <xf numFmtId="0" fontId="17" fillId="0" borderId="32" xfId="3" applyFont="1" applyBorder="1" applyAlignment="1">
      <alignment vertical="top"/>
    </xf>
    <xf numFmtId="0" fontId="20" fillId="0" borderId="30" xfId="3" applyFont="1" applyBorder="1"/>
    <xf numFmtId="0" fontId="20" fillId="0" borderId="0" xfId="3" applyFont="1"/>
    <xf numFmtId="172" fontId="20" fillId="0" borderId="32" xfId="3" applyNumberFormat="1" applyFont="1" applyBorder="1"/>
    <xf numFmtId="0" fontId="0" fillId="0" borderId="30" xfId="0" applyBorder="1"/>
    <xf numFmtId="0" fontId="17" fillId="0" borderId="2" xfId="3" applyFont="1" applyBorder="1" applyAlignment="1">
      <alignment vertical="top"/>
    </xf>
    <xf numFmtId="0" fontId="17" fillId="0" borderId="44" xfId="3" applyFont="1" applyBorder="1" applyAlignment="1">
      <alignment vertical="top"/>
    </xf>
    <xf numFmtId="0" fontId="49" fillId="0" borderId="55" xfId="0" applyFont="1" applyBorder="1"/>
    <xf numFmtId="0" fontId="49" fillId="6" borderId="10" xfId="3" applyFont="1" applyFill="1" applyBorder="1" applyAlignment="1">
      <alignment vertical="top"/>
    </xf>
    <xf numFmtId="0" fontId="49" fillId="6" borderId="34" xfId="3" applyFont="1" applyFill="1" applyBorder="1" applyAlignment="1">
      <alignment vertical="top"/>
    </xf>
    <xf numFmtId="0" fontId="38" fillId="6" borderId="35" xfId="3" applyFont="1" applyFill="1" applyBorder="1" applyAlignment="1">
      <alignment horizontal="left" vertical="top"/>
    </xf>
    <xf numFmtId="0" fontId="38" fillId="4" borderId="15" xfId="3" applyFont="1" applyFill="1" applyBorder="1"/>
    <xf numFmtId="0" fontId="19" fillId="7" borderId="35" xfId="3" applyFont="1" applyFill="1" applyBorder="1" applyAlignment="1">
      <alignment horizontal="left" vertical="center"/>
    </xf>
    <xf numFmtId="0" fontId="31" fillId="0" borderId="30" xfId="0" applyFont="1" applyBorder="1" applyAlignment="1">
      <alignment horizontal="left" indent="1"/>
    </xf>
    <xf numFmtId="4" fontId="31" fillId="0" borderId="0" xfId="0" applyNumberFormat="1" applyFont="1" applyAlignment="1">
      <alignment horizontal="center"/>
    </xf>
    <xf numFmtId="4" fontId="31" fillId="0" borderId="32" xfId="0" applyNumberFormat="1" applyFont="1" applyBorder="1" applyAlignment="1">
      <alignment horizontal="center"/>
    </xf>
    <xf numFmtId="172" fontId="17" fillId="7" borderId="36" xfId="3" applyNumberFormat="1" applyFont="1" applyFill="1" applyBorder="1" applyAlignment="1">
      <alignment horizontal="right" vertical="center"/>
    </xf>
    <xf numFmtId="0" fontId="31" fillId="0" borderId="33" xfId="0" applyFont="1" applyBorder="1"/>
    <xf numFmtId="0" fontId="40" fillId="0" borderId="21" xfId="0" applyFont="1" applyBorder="1"/>
    <xf numFmtId="0" fontId="59" fillId="0" borderId="21" xfId="3" applyFont="1" applyBorder="1"/>
    <xf numFmtId="0" fontId="0" fillId="0" borderId="32" xfId="0" applyBorder="1"/>
    <xf numFmtId="0" fontId="40" fillId="0" borderId="0" xfId="0" applyFont="1"/>
    <xf numFmtId="0" fontId="40" fillId="0" borderId="32" xfId="0" applyFont="1" applyBorder="1"/>
    <xf numFmtId="0" fontId="59" fillId="0" borderId="0" xfId="3" applyFont="1"/>
    <xf numFmtId="0" fontId="37" fillId="5" borderId="0" xfId="3" applyFont="1" applyFill="1" applyAlignment="1">
      <alignment wrapText="1"/>
    </xf>
    <xf numFmtId="0" fontId="58" fillId="6" borderId="11" xfId="3" applyFont="1" applyFill="1" applyBorder="1" applyAlignment="1">
      <alignment horizontal="left" vertical="top"/>
    </xf>
    <xf numFmtId="0" fontId="17" fillId="0" borderId="3" xfId="3" applyFont="1" applyBorder="1" applyAlignment="1">
      <alignment vertical="top"/>
    </xf>
    <xf numFmtId="0" fontId="17" fillId="0" borderId="22" xfId="3" applyFont="1" applyBorder="1" applyAlignment="1">
      <alignment vertical="top"/>
    </xf>
    <xf numFmtId="0" fontId="17" fillId="0" borderId="21" xfId="3" applyFont="1" applyBorder="1" applyAlignment="1">
      <alignment vertical="top"/>
    </xf>
    <xf numFmtId="0" fontId="20" fillId="0" borderId="21" xfId="3" applyFont="1" applyBorder="1"/>
    <xf numFmtId="0" fontId="49" fillId="6" borderId="11" xfId="3" applyFont="1" applyFill="1" applyBorder="1" applyAlignment="1">
      <alignment vertical="top"/>
    </xf>
    <xf numFmtId="0" fontId="49" fillId="6" borderId="20" xfId="3" applyFont="1" applyFill="1" applyBorder="1" applyAlignment="1">
      <alignment vertical="top"/>
    </xf>
    <xf numFmtId="0" fontId="17" fillId="0" borderId="60" xfId="3" applyFont="1" applyBorder="1" applyAlignment="1">
      <alignment vertical="top"/>
    </xf>
    <xf numFmtId="0" fontId="17" fillId="0" borderId="61" xfId="3" applyFont="1" applyBorder="1" applyAlignment="1">
      <alignment vertical="top"/>
    </xf>
    <xf numFmtId="0" fontId="49" fillId="6" borderId="41" xfId="3" applyFont="1" applyFill="1" applyBorder="1" applyAlignment="1">
      <alignment vertical="top"/>
    </xf>
    <xf numFmtId="0" fontId="17" fillId="0" borderId="62" xfId="3" applyFont="1" applyBorder="1" applyAlignment="1">
      <alignment vertical="top"/>
    </xf>
    <xf numFmtId="0" fontId="17" fillId="0" borderId="28" xfId="3" applyFont="1" applyBorder="1" applyAlignment="1">
      <alignment vertical="top"/>
    </xf>
    <xf numFmtId="0" fontId="17" fillId="0" borderId="29" xfId="3" applyFont="1" applyBorder="1" applyAlignment="1">
      <alignment vertical="top"/>
    </xf>
    <xf numFmtId="178" fontId="17" fillId="0" borderId="61" xfId="3" applyNumberFormat="1" applyFont="1" applyBorder="1" applyAlignment="1">
      <alignment vertical="top"/>
    </xf>
    <xf numFmtId="172" fontId="20" fillId="0" borderId="61" xfId="3" applyNumberFormat="1" applyFont="1" applyBorder="1"/>
    <xf numFmtId="172" fontId="20" fillId="0" borderId="0" xfId="3" applyNumberFormat="1" applyFont="1"/>
    <xf numFmtId="0" fontId="0" fillId="0" borderId="3" xfId="0" applyBorder="1"/>
    <xf numFmtId="0" fontId="0" fillId="0" borderId="44" xfId="0" applyBorder="1"/>
    <xf numFmtId="172" fontId="17" fillId="7" borderId="26" xfId="3" applyNumberFormat="1" applyFont="1" applyFill="1" applyBorder="1" applyAlignment="1">
      <alignment horizontal="right" vertical="center"/>
    </xf>
    <xf numFmtId="172" fontId="17" fillId="7" borderId="24" xfId="1" applyNumberFormat="1" applyFont="1" applyFill="1" applyBorder="1" applyAlignment="1">
      <alignment horizontal="right" vertical="center" wrapText="1"/>
    </xf>
    <xf numFmtId="172" fontId="17" fillId="7" borderId="50" xfId="1" applyNumberFormat="1" applyFont="1" applyFill="1" applyBorder="1" applyAlignment="1">
      <alignment horizontal="right" vertical="center" wrapText="1"/>
    </xf>
    <xf numFmtId="4" fontId="31" fillId="0" borderId="8" xfId="0" applyNumberFormat="1" applyFont="1" applyBorder="1" applyAlignment="1">
      <alignment horizontal="center"/>
    </xf>
    <xf numFmtId="172" fontId="17" fillId="7" borderId="5" xfId="3" applyNumberFormat="1" applyFont="1" applyFill="1" applyBorder="1" applyAlignment="1">
      <alignment horizontal="right" vertical="center"/>
    </xf>
    <xf numFmtId="0" fontId="58" fillId="6" borderId="20" xfId="3" applyFont="1" applyFill="1" applyBorder="1" applyAlignment="1">
      <alignment horizontal="left" vertical="top"/>
    </xf>
    <xf numFmtId="0" fontId="37" fillId="5" borderId="21" xfId="3" applyFont="1" applyFill="1" applyBorder="1" applyAlignment="1">
      <alignment wrapText="1"/>
    </xf>
    <xf numFmtId="0" fontId="38" fillId="6" borderId="20" xfId="3" applyFont="1" applyFill="1" applyBorder="1" applyAlignment="1">
      <alignment horizontal="left" vertical="top"/>
    </xf>
    <xf numFmtId="0" fontId="36" fillId="4" borderId="46" xfId="3" applyFont="1" applyFill="1" applyBorder="1" applyAlignment="1">
      <alignment wrapText="1"/>
    </xf>
    <xf numFmtId="0" fontId="36" fillId="4" borderId="65" xfId="3" applyFont="1" applyFill="1" applyBorder="1" applyAlignment="1">
      <alignment wrapText="1"/>
    </xf>
    <xf numFmtId="0" fontId="36" fillId="4" borderId="47" xfId="3" applyFont="1" applyFill="1" applyBorder="1" applyAlignment="1">
      <alignment wrapText="1"/>
    </xf>
    <xf numFmtId="0" fontId="36" fillId="4" borderId="45" xfId="3" applyFont="1" applyFill="1" applyBorder="1" applyAlignment="1">
      <alignment wrapText="1"/>
    </xf>
    <xf numFmtId="0" fontId="37" fillId="5" borderId="60" xfId="3" applyFont="1" applyFill="1" applyBorder="1" applyAlignment="1">
      <alignment wrapText="1"/>
    </xf>
    <xf numFmtId="0" fontId="37" fillId="5" borderId="3" xfId="3" applyFont="1" applyFill="1" applyBorder="1" applyAlignment="1">
      <alignment wrapText="1"/>
    </xf>
    <xf numFmtId="0" fontId="37" fillId="5" borderId="44" xfId="3" applyFont="1" applyFill="1" applyBorder="1" applyAlignment="1">
      <alignment wrapText="1"/>
    </xf>
    <xf numFmtId="0" fontId="38" fillId="6" borderId="41" xfId="3" applyFont="1" applyFill="1" applyBorder="1" applyAlignment="1">
      <alignment horizontal="left" vertical="top"/>
    </xf>
    <xf numFmtId="0" fontId="38" fillId="6" borderId="34" xfId="3" applyFont="1" applyFill="1" applyBorder="1" applyAlignment="1">
      <alignment horizontal="left" vertical="top"/>
    </xf>
    <xf numFmtId="0" fontId="58" fillId="6" borderId="41" xfId="3" applyFont="1" applyFill="1" applyBorder="1" applyAlignment="1">
      <alignment horizontal="left" vertical="top"/>
    </xf>
    <xf numFmtId="0" fontId="58" fillId="6" borderId="34" xfId="3" applyFont="1" applyFill="1" applyBorder="1" applyAlignment="1">
      <alignment horizontal="left" vertical="top"/>
    </xf>
    <xf numFmtId="0" fontId="19" fillId="7" borderId="47" xfId="3" applyFont="1" applyFill="1" applyBorder="1" applyAlignment="1">
      <alignment horizontal="left" vertical="center"/>
    </xf>
    <xf numFmtId="10" fontId="0" fillId="0" borderId="24" xfId="0" applyNumberFormat="1" applyBorder="1"/>
    <xf numFmtId="0" fontId="19" fillId="7" borderId="28" xfId="3" applyFont="1" applyFill="1" applyBorder="1" applyAlignment="1">
      <alignment horizontal="left" vertical="center"/>
    </xf>
    <xf numFmtId="0" fontId="0" fillId="0" borderId="13" xfId="0" applyBorder="1"/>
    <xf numFmtId="10" fontId="0" fillId="0" borderId="13" xfId="0" applyNumberFormat="1" applyBorder="1"/>
    <xf numFmtId="0" fontId="19" fillId="7" borderId="57" xfId="3" applyFont="1" applyFill="1" applyBorder="1" applyAlignment="1">
      <alignment horizontal="left" vertical="center"/>
    </xf>
    <xf numFmtId="0" fontId="19" fillId="7" borderId="54" xfId="3" applyFont="1" applyFill="1" applyBorder="1" applyAlignment="1">
      <alignment horizontal="left" vertical="center"/>
    </xf>
    <xf numFmtId="0" fontId="0" fillId="0" borderId="14" xfId="0" applyBorder="1"/>
    <xf numFmtId="10" fontId="0" fillId="0" borderId="26" xfId="0" applyNumberFormat="1" applyBorder="1"/>
    <xf numFmtId="0" fontId="19" fillId="7" borderId="48" xfId="3" applyFont="1" applyFill="1" applyBorder="1" applyAlignment="1">
      <alignment horizontal="left" vertical="center"/>
    </xf>
    <xf numFmtId="0" fontId="19" fillId="7" borderId="30" xfId="3" applyFont="1" applyFill="1" applyBorder="1" applyAlignment="1">
      <alignment horizontal="left" vertical="center"/>
    </xf>
    <xf numFmtId="10" fontId="0" fillId="0" borderId="50" xfId="0" applyNumberFormat="1" applyBorder="1"/>
    <xf numFmtId="0" fontId="19" fillId="7" borderId="68" xfId="3" applyFont="1" applyFill="1" applyBorder="1" applyAlignment="1">
      <alignment horizontal="left" vertical="center"/>
    </xf>
    <xf numFmtId="10" fontId="0" fillId="0" borderId="12" xfId="0" applyNumberFormat="1" applyBorder="1"/>
    <xf numFmtId="0" fontId="0" fillId="0" borderId="11" xfId="0" applyBorder="1"/>
    <xf numFmtId="0" fontId="0" fillId="0" borderId="34" xfId="0" applyBorder="1"/>
    <xf numFmtId="0" fontId="0" fillId="0" borderId="36" xfId="0" applyBorder="1"/>
    <xf numFmtId="180" fontId="23" fillId="0" borderId="0" xfId="1" applyNumberFormat="1" applyFont="1" applyFill="1" applyBorder="1"/>
    <xf numFmtId="0" fontId="43" fillId="13" borderId="69" xfId="0" applyFont="1" applyFill="1" applyBorder="1" applyAlignment="1">
      <alignment horizontal="center" vertical="center"/>
    </xf>
    <xf numFmtId="10" fontId="0" fillId="0" borderId="24" xfId="6" applyNumberFormat="1" applyFont="1" applyBorder="1" applyAlignment="1"/>
    <xf numFmtId="0" fontId="0" fillId="0" borderId="66" xfId="0" applyBorder="1"/>
    <xf numFmtId="0" fontId="36" fillId="4" borderId="67" xfId="3" applyFont="1" applyFill="1" applyBorder="1" applyAlignment="1">
      <alignment wrapText="1"/>
    </xf>
    <xf numFmtId="0" fontId="37" fillId="5" borderId="66" xfId="3" applyFont="1" applyFill="1" applyBorder="1" applyAlignment="1">
      <alignment wrapText="1"/>
    </xf>
    <xf numFmtId="0" fontId="38" fillId="6" borderId="68" xfId="3" applyFont="1" applyFill="1" applyBorder="1" applyAlignment="1">
      <alignment horizontal="left" vertical="top"/>
    </xf>
    <xf numFmtId="0" fontId="26" fillId="0" borderId="66" xfId="0" applyFont="1" applyBorder="1"/>
    <xf numFmtId="0" fontId="58" fillId="6" borderId="68" xfId="3" applyFont="1" applyFill="1" applyBorder="1" applyAlignment="1">
      <alignment horizontal="left" vertical="top"/>
    </xf>
    <xf numFmtId="0" fontId="49" fillId="0" borderId="66" xfId="0" applyFont="1" applyBorder="1"/>
    <xf numFmtId="0" fontId="57" fillId="0" borderId="66" xfId="0" applyFont="1" applyBorder="1" applyAlignment="1">
      <alignment horizontal="left" indent="3"/>
    </xf>
    <xf numFmtId="0" fontId="49" fillId="0" borderId="66" xfId="0" applyFont="1" applyBorder="1" applyAlignment="1">
      <alignment horizontal="left" indent="2"/>
    </xf>
    <xf numFmtId="0" fontId="57" fillId="0" borderId="66" xfId="0" applyFont="1" applyBorder="1" applyAlignment="1">
      <alignment horizontal="left" indent="2"/>
    </xf>
    <xf numFmtId="0" fontId="27" fillId="0" borderId="66" xfId="0" applyFont="1" applyBorder="1" applyAlignment="1">
      <alignment horizontal="left" indent="2"/>
    </xf>
    <xf numFmtId="0" fontId="60" fillId="0" borderId="58" xfId="0" applyFont="1" applyBorder="1"/>
    <xf numFmtId="0" fontId="28" fillId="0" borderId="66" xfId="0" applyFont="1" applyBorder="1"/>
    <xf numFmtId="0" fontId="58" fillId="0" borderId="66" xfId="0" applyFont="1" applyBorder="1"/>
    <xf numFmtId="178" fontId="17" fillId="0" borderId="32" xfId="3" applyNumberFormat="1" applyFont="1" applyBorder="1" applyAlignment="1">
      <alignment vertical="top"/>
    </xf>
    <xf numFmtId="0" fontId="35" fillId="0" borderId="0" xfId="7" applyFill="1"/>
    <xf numFmtId="43" fontId="0" fillId="0" borderId="0" xfId="1" applyFont="1" applyFill="1" applyBorder="1"/>
    <xf numFmtId="0" fontId="36" fillId="4" borderId="48" xfId="3" applyFont="1" applyFill="1" applyBorder="1" applyAlignment="1">
      <alignment wrapText="1"/>
    </xf>
    <xf numFmtId="0" fontId="19" fillId="7" borderId="43" xfId="3" applyFont="1" applyFill="1" applyBorder="1" applyAlignment="1">
      <alignment horizontal="left" vertical="center" indent="1"/>
    </xf>
    <xf numFmtId="0" fontId="19" fillId="7" borderId="3" xfId="3" applyFont="1" applyFill="1" applyBorder="1" applyAlignment="1">
      <alignment horizontal="left" vertical="center" indent="1"/>
    </xf>
    <xf numFmtId="0" fontId="19" fillId="7" borderId="44" xfId="3" applyFont="1" applyFill="1" applyBorder="1" applyAlignment="1">
      <alignment horizontal="left" vertical="center" indent="1"/>
    </xf>
    <xf numFmtId="0" fontId="0" fillId="0" borderId="70" xfId="0" applyBorder="1"/>
    <xf numFmtId="0" fontId="19" fillId="7" borderId="49" xfId="3" applyFont="1" applyFill="1" applyBorder="1" applyAlignment="1">
      <alignment horizontal="left" vertical="center" indent="1"/>
    </xf>
    <xf numFmtId="0" fontId="19" fillId="7" borderId="24" xfId="3" applyFont="1" applyFill="1" applyBorder="1" applyAlignment="1">
      <alignment horizontal="left" vertical="center" indent="1"/>
    </xf>
    <xf numFmtId="0" fontId="19" fillId="7" borderId="50" xfId="3" applyFont="1" applyFill="1" applyBorder="1" applyAlignment="1">
      <alignment horizontal="left" vertical="center" indent="1"/>
    </xf>
    <xf numFmtId="0" fontId="38" fillId="6" borderId="58" xfId="3" applyFont="1" applyFill="1" applyBorder="1" applyAlignment="1">
      <alignment horizontal="left" vertical="top"/>
    </xf>
    <xf numFmtId="0" fontId="38" fillId="6" borderId="6" xfId="3" applyFont="1" applyFill="1" applyBorder="1" applyAlignment="1">
      <alignment horizontal="left" vertical="top"/>
    </xf>
    <xf numFmtId="0" fontId="38" fillId="6" borderId="36" xfId="3" applyFont="1" applyFill="1" applyBorder="1" applyAlignment="1">
      <alignment horizontal="left" vertical="top"/>
    </xf>
    <xf numFmtId="0" fontId="65" fillId="0" borderId="66" xfId="7" applyFont="1" applyFill="1" applyBorder="1"/>
    <xf numFmtId="0" fontId="65" fillId="0" borderId="0" xfId="7" applyFont="1" applyFill="1" applyBorder="1"/>
    <xf numFmtId="172" fontId="65" fillId="0" borderId="0" xfId="7" applyNumberFormat="1" applyFont="1" applyFill="1" applyBorder="1" applyAlignment="1">
      <alignment horizontal="left" vertical="center" wrapText="1"/>
    </xf>
    <xf numFmtId="0" fontId="49" fillId="0" borderId="0" xfId="0" applyFont="1"/>
    <xf numFmtId="0" fontId="49" fillId="0" borderId="32" xfId="0" applyFont="1" applyBorder="1"/>
    <xf numFmtId="174" fontId="49" fillId="0" borderId="0" xfId="0" applyNumberFormat="1" applyFont="1"/>
    <xf numFmtId="174" fontId="49" fillId="0" borderId="32" xfId="0" applyNumberFormat="1" applyFont="1" applyBorder="1"/>
    <xf numFmtId="43" fontId="49" fillId="0" borderId="0" xfId="1" applyFont="1" applyFill="1" applyBorder="1"/>
    <xf numFmtId="164" fontId="49" fillId="0" borderId="0" xfId="0" applyNumberFormat="1" applyFont="1"/>
    <xf numFmtId="0" fontId="49" fillId="0" borderId="58" xfId="0" applyFont="1" applyBorder="1"/>
    <xf numFmtId="174" fontId="49" fillId="0" borderId="6" xfId="0" applyNumberFormat="1" applyFont="1" applyBorder="1"/>
    <xf numFmtId="165" fontId="17" fillId="0" borderId="0" xfId="0" applyNumberFormat="1" applyFont="1" applyAlignment="1">
      <alignment horizontal="right" vertical="top" wrapText="1"/>
    </xf>
    <xf numFmtId="0" fontId="49" fillId="0" borderId="66" xfId="3" applyFont="1" applyBorder="1" applyAlignment="1">
      <alignment horizontal="left" vertical="top"/>
    </xf>
    <xf numFmtId="0" fontId="49" fillId="0" borderId="68" xfId="0" applyFont="1" applyBorder="1"/>
    <xf numFmtId="0" fontId="49" fillId="0" borderId="11" xfId="0" applyFont="1" applyBorder="1"/>
    <xf numFmtId="181" fontId="49" fillId="0" borderId="0" xfId="0" applyNumberFormat="1" applyFont="1"/>
    <xf numFmtId="10" fontId="33" fillId="0" borderId="32" xfId="4" applyNumberFormat="1" applyBorder="1"/>
    <xf numFmtId="43" fontId="33" fillId="0" borderId="32" xfId="4" applyNumberFormat="1" applyBorder="1"/>
    <xf numFmtId="0" fontId="58" fillId="6" borderId="35" xfId="3" applyFont="1" applyFill="1" applyBorder="1" applyAlignment="1">
      <alignment horizontal="left" vertical="top"/>
    </xf>
    <xf numFmtId="0" fontId="58" fillId="6" borderId="36" xfId="3" applyFont="1" applyFill="1" applyBorder="1" applyAlignment="1">
      <alignment horizontal="left" vertical="top"/>
    </xf>
    <xf numFmtId="0" fontId="58" fillId="6" borderId="49" xfId="3" applyFont="1" applyFill="1" applyBorder="1" applyAlignment="1">
      <alignment horizontal="left" vertical="top"/>
    </xf>
    <xf numFmtId="0" fontId="58" fillId="6" borderId="50" xfId="3" applyFont="1" applyFill="1" applyBorder="1" applyAlignment="1">
      <alignment horizontal="left" vertical="top"/>
    </xf>
    <xf numFmtId="0" fontId="41" fillId="6" borderId="35" xfId="3" applyFont="1" applyFill="1" applyBorder="1" applyAlignment="1">
      <alignment horizontal="left" vertical="top"/>
    </xf>
    <xf numFmtId="0" fontId="41" fillId="6" borderId="36" xfId="3" applyFont="1" applyFill="1" applyBorder="1" applyAlignment="1">
      <alignment horizontal="left" vertical="top"/>
    </xf>
    <xf numFmtId="43" fontId="0" fillId="0" borderId="0" xfId="1" applyFont="1" applyFill="1" applyBorder="1" applyAlignment="1">
      <alignment horizontal="center"/>
    </xf>
    <xf numFmtId="43" fontId="0" fillId="0" borderId="0" xfId="0" applyNumberFormat="1"/>
    <xf numFmtId="0" fontId="21" fillId="5" borderId="22" xfId="3" applyFont="1" applyFill="1" applyBorder="1" applyAlignment="1">
      <alignment wrapText="1"/>
    </xf>
    <xf numFmtId="0" fontId="21" fillId="5" borderId="0" xfId="3" applyFont="1" applyFill="1" applyAlignment="1">
      <alignment horizontal="right"/>
    </xf>
    <xf numFmtId="172" fontId="17" fillId="7" borderId="23" xfId="1" applyNumberFormat="1" applyFont="1" applyFill="1" applyBorder="1" applyAlignment="1">
      <alignment horizontal="left" vertical="center" wrapText="1"/>
    </xf>
    <xf numFmtId="172" fontId="17" fillId="7" borderId="36" xfId="1" applyNumberFormat="1" applyFont="1" applyFill="1" applyBorder="1" applyAlignment="1">
      <alignment horizontal="left" vertical="center" wrapText="1"/>
    </xf>
    <xf numFmtId="172" fontId="17" fillId="7" borderId="34" xfId="1" applyNumberFormat="1" applyFont="1" applyFill="1" applyBorder="1" applyAlignment="1">
      <alignment horizontal="left" vertical="center" wrapText="1"/>
    </xf>
    <xf numFmtId="0" fontId="1" fillId="0" borderId="0" xfId="8"/>
    <xf numFmtId="0" fontId="67" fillId="0" borderId="0" xfId="8" applyFont="1"/>
    <xf numFmtId="0" fontId="1" fillId="0" borderId="18" xfId="8" applyBorder="1" applyAlignment="1">
      <alignment horizontal="left"/>
    </xf>
    <xf numFmtId="0" fontId="1" fillId="15" borderId="26" xfId="8" applyFill="1" applyBorder="1"/>
    <xf numFmtId="0" fontId="1" fillId="0" borderId="7" xfId="8" applyBorder="1"/>
    <xf numFmtId="0" fontId="1" fillId="0" borderId="6" xfId="8" applyBorder="1"/>
    <xf numFmtId="0" fontId="1" fillId="0" borderId="5" xfId="8" applyBorder="1"/>
    <xf numFmtId="0" fontId="1" fillId="16" borderId="4" xfId="8" applyFill="1" applyBorder="1"/>
    <xf numFmtId="0" fontId="1" fillId="16" borderId="3" xfId="8" applyFill="1" applyBorder="1"/>
    <xf numFmtId="0" fontId="1" fillId="16" borderId="2" xfId="8" applyFill="1" applyBorder="1"/>
    <xf numFmtId="0" fontId="1" fillId="17" borderId="26" xfId="8" applyFill="1" applyBorder="1" applyAlignment="1">
      <alignment wrapText="1"/>
    </xf>
    <xf numFmtId="0" fontId="1" fillId="18" borderId="7" xfId="8" applyFill="1" applyBorder="1"/>
    <xf numFmtId="0" fontId="1" fillId="18" borderId="6" xfId="8" applyFill="1" applyBorder="1"/>
    <xf numFmtId="0" fontId="1" fillId="18" borderId="5" xfId="8" applyFill="1" applyBorder="1"/>
    <xf numFmtId="0" fontId="1" fillId="19" borderId="26" xfId="8" applyFill="1" applyBorder="1"/>
    <xf numFmtId="0" fontId="1" fillId="20" borderId="3" xfId="8" applyFill="1" applyBorder="1"/>
    <xf numFmtId="0" fontId="1" fillId="20" borderId="2" xfId="8" applyFill="1" applyBorder="1"/>
    <xf numFmtId="0" fontId="1" fillId="0" borderId="7" xfId="8" applyBorder="1" applyAlignment="1">
      <alignment horizontal="left"/>
    </xf>
    <xf numFmtId="0" fontId="1" fillId="21" borderId="5" xfId="8" applyFill="1" applyBorder="1"/>
    <xf numFmtId="0" fontId="1" fillId="0" borderId="4" xfId="8" applyBorder="1" applyAlignment="1">
      <alignment horizontal="left"/>
    </xf>
    <xf numFmtId="0" fontId="1" fillId="22" borderId="2" xfId="8" applyFill="1" applyBorder="1"/>
    <xf numFmtId="0" fontId="1" fillId="23" borderId="9" xfId="8" applyFill="1" applyBorder="1"/>
    <xf numFmtId="0" fontId="1" fillId="23" borderId="0" xfId="8" applyFill="1"/>
    <xf numFmtId="0" fontId="1" fillId="23" borderId="8" xfId="8" applyFill="1" applyBorder="1"/>
    <xf numFmtId="0" fontId="1" fillId="16" borderId="7" xfId="8" applyFill="1" applyBorder="1" applyAlignment="1">
      <alignment horizontal="left"/>
    </xf>
    <xf numFmtId="0" fontId="1" fillId="16" borderId="5" xfId="8" applyFill="1" applyBorder="1"/>
    <xf numFmtId="0" fontId="1" fillId="18" borderId="9" xfId="8" applyFill="1" applyBorder="1"/>
    <xf numFmtId="0" fontId="1" fillId="18" borderId="0" xfId="8" applyFill="1"/>
    <xf numFmtId="0" fontId="1" fillId="0" borderId="8" xfId="8" applyBorder="1"/>
    <xf numFmtId="0" fontId="1" fillId="20" borderId="9" xfId="8" applyFill="1" applyBorder="1" applyAlignment="1">
      <alignment horizontal="left"/>
    </xf>
    <xf numFmtId="0" fontId="1" fillId="20" borderId="8" xfId="8" applyFill="1" applyBorder="1"/>
    <xf numFmtId="0" fontId="1" fillId="24" borderId="9" xfId="8" applyFill="1" applyBorder="1"/>
    <xf numFmtId="0" fontId="1" fillId="24" borderId="0" xfId="8" applyFill="1"/>
    <xf numFmtId="0" fontId="1" fillId="24" borderId="8" xfId="8" applyFill="1" applyBorder="1"/>
    <xf numFmtId="0" fontId="67" fillId="18" borderId="9" xfId="8" applyFont="1" applyFill="1" applyBorder="1"/>
    <xf numFmtId="0" fontId="1" fillId="0" borderId="8" xfId="8" applyBorder="1" applyAlignment="1">
      <alignment horizontal="right"/>
    </xf>
    <xf numFmtId="0" fontId="1" fillId="24" borderId="4" xfId="8" applyFill="1" applyBorder="1"/>
    <xf numFmtId="0" fontId="1" fillId="24" borderId="3" xfId="8" applyFill="1" applyBorder="1"/>
    <xf numFmtId="0" fontId="1" fillId="24" borderId="2" xfId="8" applyFill="1" applyBorder="1"/>
    <xf numFmtId="0" fontId="1" fillId="20" borderId="4" xfId="8" applyFill="1" applyBorder="1" applyAlignment="1">
      <alignment horizontal="left"/>
    </xf>
    <xf numFmtId="0" fontId="38" fillId="4" borderId="31" xfId="3" applyFont="1" applyFill="1" applyBorder="1"/>
    <xf numFmtId="0" fontId="19" fillId="7" borderId="74" xfId="3" applyFont="1" applyFill="1" applyBorder="1" applyAlignment="1">
      <alignment horizontal="left" vertical="center"/>
    </xf>
    <xf numFmtId="10" fontId="0" fillId="0" borderId="18" xfId="0" applyNumberFormat="1" applyBorder="1"/>
    <xf numFmtId="0" fontId="38" fillId="6" borderId="75" xfId="3" applyFont="1" applyFill="1" applyBorder="1" applyAlignment="1">
      <alignment horizontal="left" vertical="top"/>
    </xf>
    <xf numFmtId="0" fontId="0" fillId="0" borderId="75" xfId="0" applyBorder="1"/>
    <xf numFmtId="0" fontId="38" fillId="6" borderId="10" xfId="3" applyFont="1" applyFill="1" applyBorder="1" applyAlignment="1">
      <alignment horizontal="left" vertical="top"/>
    </xf>
    <xf numFmtId="0" fontId="19" fillId="7" borderId="13" xfId="3" applyFont="1" applyFill="1" applyBorder="1" applyAlignment="1">
      <alignment horizontal="left" vertical="center"/>
    </xf>
    <xf numFmtId="0" fontId="19" fillId="7" borderId="76" xfId="3" applyFont="1" applyFill="1" applyBorder="1" applyAlignment="1">
      <alignment horizontal="left" vertical="center"/>
    </xf>
    <xf numFmtId="0" fontId="19" fillId="7" borderId="12" xfId="3" applyFont="1" applyFill="1" applyBorder="1" applyAlignment="1">
      <alignment horizontal="left" vertical="center"/>
    </xf>
    <xf numFmtId="10" fontId="0" fillId="0" borderId="14" xfId="0" applyNumberFormat="1" applyBorder="1"/>
    <xf numFmtId="0" fontId="1" fillId="0" borderId="0" xfId="0" applyFont="1"/>
    <xf numFmtId="3" fontId="1" fillId="0" borderId="30" xfId="0" applyNumberFormat="1" applyFont="1" applyBorder="1" applyAlignment="1">
      <alignment horizontal="left" indent="1"/>
    </xf>
    <xf numFmtId="3" fontId="1" fillId="0" borderId="2" xfId="0" applyNumberFormat="1" applyFont="1" applyBorder="1"/>
    <xf numFmtId="3" fontId="1" fillId="0" borderId="3" xfId="0" applyNumberFormat="1" applyFont="1" applyBorder="1"/>
    <xf numFmtId="3" fontId="1" fillId="0" borderId="44" xfId="0" applyNumberFormat="1" applyFont="1" applyBorder="1"/>
    <xf numFmtId="9" fontId="1" fillId="0" borderId="0" xfId="0" applyNumberFormat="1" applyFont="1"/>
    <xf numFmtId="0" fontId="1" fillId="0" borderId="30" xfId="0" applyFont="1" applyBorder="1" applyAlignment="1">
      <alignment horizontal="left" indent="1"/>
    </xf>
    <xf numFmtId="3" fontId="1" fillId="0" borderId="8" xfId="0" applyNumberFormat="1" applyFont="1" applyBorder="1"/>
    <xf numFmtId="3" fontId="1" fillId="0" borderId="0" xfId="0" applyNumberFormat="1" applyFont="1"/>
    <xf numFmtId="3" fontId="1" fillId="0" borderId="32" xfId="0" applyNumberFormat="1" applyFont="1" applyBorder="1"/>
    <xf numFmtId="0" fontId="1" fillId="0" borderId="30" xfId="0" applyFont="1" applyBorder="1"/>
    <xf numFmtId="0" fontId="1" fillId="0" borderId="8" xfId="0" applyFont="1" applyBorder="1"/>
    <xf numFmtId="0" fontId="1" fillId="0" borderId="32" xfId="0" applyFont="1" applyBorder="1"/>
    <xf numFmtId="0" fontId="1" fillId="0" borderId="2" xfId="0" applyFont="1" applyBorder="1"/>
    <xf numFmtId="0" fontId="1" fillId="0" borderId="3" xfId="0" applyFont="1" applyBorder="1"/>
    <xf numFmtId="0" fontId="1" fillId="0" borderId="44" xfId="0" applyFont="1" applyBorder="1"/>
    <xf numFmtId="3" fontId="1" fillId="0" borderId="30" xfId="0" applyNumberFormat="1" applyFont="1" applyBorder="1"/>
    <xf numFmtId="9" fontId="1" fillId="0" borderId="8" xfId="0" applyNumberFormat="1" applyFont="1" applyBorder="1"/>
    <xf numFmtId="9" fontId="1" fillId="0" borderId="32" xfId="0" applyNumberFormat="1" applyFont="1" applyBorder="1"/>
    <xf numFmtId="9" fontId="1" fillId="0" borderId="5" xfId="0" applyNumberFormat="1" applyFont="1" applyBorder="1"/>
    <xf numFmtId="9" fontId="1" fillId="0" borderId="6" xfId="0" applyNumberFormat="1" applyFont="1" applyBorder="1"/>
    <xf numFmtId="9" fontId="1" fillId="0" borderId="36" xfId="0" applyNumberFormat="1" applyFont="1" applyBorder="1"/>
    <xf numFmtId="172" fontId="1" fillId="0" borderId="8" xfId="0" applyNumberFormat="1" applyFont="1" applyBorder="1"/>
    <xf numFmtId="172" fontId="1" fillId="0" borderId="0" xfId="0" applyNumberFormat="1" applyFont="1"/>
    <xf numFmtId="172" fontId="1" fillId="0" borderId="22" xfId="1" applyNumberFormat="1" applyFont="1" applyFill="1" applyBorder="1"/>
    <xf numFmtId="172" fontId="1" fillId="0" borderId="0" xfId="1" applyNumberFormat="1" applyFont="1" applyBorder="1"/>
    <xf numFmtId="172" fontId="1" fillId="0" borderId="32" xfId="1" applyNumberFormat="1" applyFont="1" applyBorder="1"/>
    <xf numFmtId="172" fontId="1" fillId="0" borderId="21" xfId="1" applyNumberFormat="1" applyFont="1" applyFill="1" applyBorder="1"/>
    <xf numFmtId="180" fontId="1" fillId="0" borderId="8" xfId="1" applyNumberFormat="1" applyFont="1" applyFill="1" applyBorder="1"/>
    <xf numFmtId="180" fontId="1" fillId="0" borderId="0" xfId="1" applyNumberFormat="1" applyFont="1" applyFill="1" applyBorder="1"/>
    <xf numFmtId="180" fontId="1" fillId="0" borderId="21" xfId="1" applyNumberFormat="1" applyFont="1" applyFill="1" applyBorder="1"/>
    <xf numFmtId="180" fontId="1" fillId="0" borderId="0" xfId="1" applyNumberFormat="1" applyFont="1" applyBorder="1"/>
    <xf numFmtId="180" fontId="1" fillId="0" borderId="32" xfId="1" applyNumberFormat="1" applyFont="1" applyBorder="1"/>
    <xf numFmtId="172" fontId="1" fillId="0" borderId="0" xfId="1" applyNumberFormat="1" applyFont="1" applyFill="1" applyBorder="1"/>
    <xf numFmtId="172" fontId="1" fillId="0" borderId="44" xfId="1" applyNumberFormat="1" applyFont="1" applyFill="1" applyBorder="1"/>
    <xf numFmtId="172" fontId="1" fillId="0" borderId="32" xfId="1" applyNumberFormat="1" applyFont="1" applyFill="1" applyBorder="1"/>
    <xf numFmtId="172" fontId="1" fillId="0" borderId="8" xfId="1" applyNumberFormat="1" applyFont="1" applyFill="1" applyBorder="1"/>
    <xf numFmtId="0" fontId="19" fillId="0" borderId="8" xfId="3" applyFont="1" applyBorder="1" applyAlignment="1">
      <alignment horizontal="left" vertical="center" indent="1"/>
    </xf>
    <xf numFmtId="43" fontId="1" fillId="0" borderId="0" xfId="1" applyFont="1" applyFill="1" applyBorder="1"/>
    <xf numFmtId="43" fontId="1" fillId="0" borderId="0" xfId="1" applyFont="1" applyFill="1" applyBorder="1" applyAlignment="1">
      <alignment horizontal="center"/>
    </xf>
    <xf numFmtId="176" fontId="1" fillId="0" borderId="8" xfId="1" applyNumberFormat="1" applyFont="1" applyBorder="1"/>
    <xf numFmtId="176" fontId="1" fillId="0" borderId="0" xfId="1" applyNumberFormat="1" applyFont="1" applyBorder="1"/>
    <xf numFmtId="176" fontId="1" fillId="0" borderId="22" xfId="1" applyNumberFormat="1" applyFont="1" applyBorder="1"/>
    <xf numFmtId="176" fontId="1" fillId="0" borderId="21" xfId="1" applyNumberFormat="1" applyFont="1" applyBorder="1"/>
    <xf numFmtId="176" fontId="1" fillId="0" borderId="0" xfId="1" applyNumberFormat="1" applyFont="1"/>
    <xf numFmtId="0" fontId="1" fillId="0" borderId="21" xfId="0" applyFont="1" applyBorder="1"/>
    <xf numFmtId="43" fontId="1" fillId="0" borderId="8" xfId="1" applyFont="1" applyBorder="1"/>
    <xf numFmtId="43" fontId="1" fillId="0" borderId="0" xfId="1" applyFont="1" applyBorder="1"/>
    <xf numFmtId="43" fontId="1" fillId="0" borderId="21" xfId="1" applyFont="1" applyBorder="1"/>
    <xf numFmtId="43" fontId="1" fillId="0" borderId="32" xfId="1" applyFont="1" applyBorder="1"/>
    <xf numFmtId="177" fontId="1" fillId="0" borderId="2" xfId="1" applyNumberFormat="1" applyFont="1" applyBorder="1"/>
    <xf numFmtId="177" fontId="1" fillId="0" borderId="3" xfId="1" applyNumberFormat="1" applyFont="1" applyBorder="1"/>
    <xf numFmtId="177" fontId="1" fillId="0" borderId="22" xfId="1" applyNumberFormat="1" applyFont="1" applyBorder="1"/>
    <xf numFmtId="175" fontId="1" fillId="0" borderId="0" xfId="1" applyNumberFormat="1" applyFont="1" applyBorder="1"/>
    <xf numFmtId="175" fontId="1" fillId="0" borderId="32" xfId="1" applyNumberFormat="1" applyFont="1" applyBorder="1"/>
    <xf numFmtId="177" fontId="1" fillId="0" borderId="8" xfId="1" applyNumberFormat="1" applyFont="1" applyBorder="1"/>
    <xf numFmtId="177" fontId="1" fillId="0" borderId="0" xfId="1" applyNumberFormat="1" applyFont="1" applyBorder="1"/>
    <xf numFmtId="177" fontId="1" fillId="0" borderId="21" xfId="1" applyNumberFormat="1" applyFont="1" applyBorder="1"/>
    <xf numFmtId="176" fontId="1" fillId="0" borderId="2" xfId="1" applyNumberFormat="1" applyFont="1" applyBorder="1"/>
    <xf numFmtId="176" fontId="1" fillId="0" borderId="3" xfId="1" applyNumberFormat="1" applyFont="1" applyBorder="1"/>
    <xf numFmtId="176" fontId="1" fillId="0" borderId="32" xfId="1" applyNumberFormat="1" applyFont="1" applyBorder="1"/>
    <xf numFmtId="0" fontId="44" fillId="0" borderId="0" xfId="0" applyFont="1"/>
    <xf numFmtId="0" fontId="44" fillId="0" borderId="21" xfId="0" applyFont="1" applyBorder="1"/>
    <xf numFmtId="0" fontId="44" fillId="0" borderId="32" xfId="0" applyFont="1" applyBorder="1"/>
    <xf numFmtId="164" fontId="44" fillId="0" borderId="32" xfId="0" applyNumberFormat="1" applyFont="1" applyBorder="1"/>
    <xf numFmtId="0" fontId="44" fillId="0" borderId="24" xfId="0" applyFont="1" applyBorder="1"/>
    <xf numFmtId="0" fontId="44" fillId="0" borderId="25" xfId="0" applyFont="1" applyBorder="1"/>
    <xf numFmtId="0" fontId="44" fillId="0" borderId="50" xfId="0" applyFont="1" applyBorder="1"/>
    <xf numFmtId="43" fontId="43" fillId="13" borderId="69" xfId="1" applyFont="1" applyFill="1" applyBorder="1" applyAlignment="1">
      <alignment horizontal="center" vertical="center"/>
    </xf>
    <xf numFmtId="0" fontId="0" fillId="0" borderId="8" xfId="0" applyBorder="1"/>
    <xf numFmtId="0" fontId="38" fillId="4" borderId="5" xfId="3" applyFont="1" applyFill="1" applyBorder="1"/>
    <xf numFmtId="164" fontId="58" fillId="6" borderId="41" xfId="3" applyNumberFormat="1" applyFont="1" applyFill="1" applyBorder="1" applyAlignment="1">
      <alignment horizontal="left" vertical="top"/>
    </xf>
    <xf numFmtId="175" fontId="1" fillId="0" borderId="0" xfId="1" applyNumberFormat="1" applyFont="1" applyFill="1" applyBorder="1"/>
    <xf numFmtId="0" fontId="19" fillId="7" borderId="30" xfId="3" applyFont="1" applyFill="1" applyBorder="1" applyAlignment="1">
      <alignment horizontal="left" vertical="center" indent="1"/>
    </xf>
    <xf numFmtId="0" fontId="49" fillId="0" borderId="0" xfId="3" applyFont="1" applyAlignment="1">
      <alignment horizontal="right" vertical="top"/>
    </xf>
    <xf numFmtId="0" fontId="33" fillId="0" borderId="0" xfId="4" applyAlignment="1">
      <alignment horizontal="right" vertical="top"/>
    </xf>
    <xf numFmtId="0" fontId="0" fillId="0" borderId="29" xfId="0" applyBorder="1"/>
    <xf numFmtId="0" fontId="44" fillId="0" borderId="61" xfId="0" applyFont="1" applyBorder="1"/>
    <xf numFmtId="164" fontId="44" fillId="0" borderId="61" xfId="0" applyNumberFormat="1" applyFont="1" applyBorder="1"/>
    <xf numFmtId="164" fontId="44" fillId="0" borderId="0" xfId="0" applyNumberFormat="1" applyFont="1"/>
    <xf numFmtId="0" fontId="0" fillId="0" borderId="61" xfId="0" applyBorder="1"/>
    <xf numFmtId="178" fontId="17" fillId="0" borderId="0" xfId="3" applyNumberFormat="1" applyFont="1" applyAlignment="1">
      <alignment vertical="top"/>
    </xf>
    <xf numFmtId="172" fontId="1" fillId="0" borderId="0" xfId="1" applyNumberFormat="1" applyFont="1"/>
    <xf numFmtId="177" fontId="23" fillId="0" borderId="8" xfId="1" applyNumberFormat="1" applyFont="1" applyFill="1" applyBorder="1"/>
    <xf numFmtId="175" fontId="1" fillId="0" borderId="8" xfId="1" applyNumberFormat="1" applyFont="1" applyFill="1" applyBorder="1"/>
    <xf numFmtId="177" fontId="1" fillId="0" borderId="8" xfId="1" applyNumberFormat="1" applyFont="1" applyFill="1" applyBorder="1"/>
    <xf numFmtId="177" fontId="1" fillId="0" borderId="0" xfId="1" applyNumberFormat="1" applyFont="1" applyFill="1" applyBorder="1"/>
    <xf numFmtId="177" fontId="1" fillId="0" borderId="21" xfId="1" applyNumberFormat="1" applyFont="1" applyFill="1" applyBorder="1"/>
    <xf numFmtId="175" fontId="1" fillId="0" borderId="32" xfId="1" applyNumberFormat="1" applyFont="1" applyFill="1" applyBorder="1"/>
    <xf numFmtId="0" fontId="69" fillId="0" borderId="0" xfId="0" applyFont="1"/>
    <xf numFmtId="177" fontId="1" fillId="0" borderId="77" xfId="1" applyNumberFormat="1" applyFont="1" applyFill="1" applyBorder="1"/>
    <xf numFmtId="175" fontId="1" fillId="0" borderId="60" xfId="1" applyNumberFormat="1" applyFont="1" applyBorder="1"/>
    <xf numFmtId="175" fontId="1" fillId="0" borderId="3" xfId="1" applyNumberFormat="1" applyFont="1" applyBorder="1"/>
    <xf numFmtId="175" fontId="1" fillId="0" borderId="44" xfId="1" applyNumberFormat="1" applyFont="1" applyBorder="1"/>
    <xf numFmtId="43" fontId="17" fillId="7" borderId="23" xfId="1" applyFont="1" applyFill="1" applyBorder="1" applyAlignment="1">
      <alignment horizontal="left" vertical="center" wrapText="1"/>
    </xf>
    <xf numFmtId="176" fontId="17" fillId="7" borderId="8" xfId="3" applyNumberFormat="1" applyFont="1" applyFill="1" applyBorder="1" applyAlignment="1">
      <alignment horizontal="left" vertical="center"/>
    </xf>
    <xf numFmtId="176" fontId="17" fillId="7" borderId="0" xfId="1" applyNumberFormat="1" applyFont="1" applyFill="1" applyBorder="1" applyAlignment="1">
      <alignment horizontal="left" vertical="center" wrapText="1"/>
    </xf>
    <xf numFmtId="176" fontId="17" fillId="7" borderId="21" xfId="1" applyNumberFormat="1" applyFont="1" applyFill="1" applyBorder="1" applyAlignment="1">
      <alignment horizontal="left" vertical="center" wrapText="1"/>
    </xf>
    <xf numFmtId="0" fontId="0" fillId="0" borderId="68" xfId="0" applyBorder="1"/>
    <xf numFmtId="0" fontId="0" fillId="0" borderId="22" xfId="0" applyBorder="1"/>
    <xf numFmtId="176" fontId="17" fillId="7" borderId="8" xfId="1" applyNumberFormat="1" applyFont="1" applyFill="1" applyBorder="1" applyAlignment="1">
      <alignment horizontal="left" vertical="center" wrapText="1"/>
    </xf>
    <xf numFmtId="175" fontId="1" fillId="0" borderId="21" xfId="1" applyNumberFormat="1" applyFont="1" applyFill="1" applyBorder="1"/>
    <xf numFmtId="0" fontId="0" fillId="0" borderId="10" xfId="0" applyBorder="1"/>
    <xf numFmtId="0" fontId="0" fillId="0" borderId="41" xfId="0" applyBorder="1"/>
    <xf numFmtId="0" fontId="38" fillId="4" borderId="7" xfId="3" applyFont="1" applyFill="1" applyBorder="1"/>
    <xf numFmtId="0" fontId="38" fillId="4" borderId="17" xfId="3" applyFont="1" applyFill="1" applyBorder="1"/>
    <xf numFmtId="172" fontId="49" fillId="0" borderId="8" xfId="0" applyNumberFormat="1" applyFont="1" applyBorder="1"/>
    <xf numFmtId="172" fontId="49" fillId="0" borderId="0" xfId="0" applyNumberFormat="1" applyFont="1"/>
    <xf numFmtId="172" fontId="49" fillId="0" borderId="21" xfId="0" applyNumberFormat="1" applyFont="1" applyBorder="1"/>
    <xf numFmtId="172" fontId="49" fillId="0" borderId="62" xfId="0" applyNumberFormat="1" applyFont="1" applyBorder="1"/>
    <xf numFmtId="172" fontId="49" fillId="0" borderId="28" xfId="0" applyNumberFormat="1" applyFont="1" applyBorder="1"/>
    <xf numFmtId="172" fontId="49" fillId="0" borderId="29" xfId="0" applyNumberFormat="1" applyFont="1" applyBorder="1"/>
    <xf numFmtId="172" fontId="49" fillId="0" borderId="61" xfId="0" applyNumberFormat="1" applyFont="1" applyBorder="1"/>
    <xf numFmtId="172" fontId="49" fillId="0" borderId="32" xfId="0" applyNumberFormat="1" applyFont="1" applyBorder="1"/>
    <xf numFmtId="172" fontId="49" fillId="6" borderId="10" xfId="0" applyNumberFormat="1" applyFont="1" applyFill="1" applyBorder="1"/>
    <xf numFmtId="172" fontId="49" fillId="6" borderId="11" xfId="0" applyNumberFormat="1" applyFont="1" applyFill="1" applyBorder="1"/>
    <xf numFmtId="172" fontId="49" fillId="6" borderId="20" xfId="0" applyNumberFormat="1" applyFont="1" applyFill="1" applyBorder="1"/>
    <xf numFmtId="172" fontId="49" fillId="6" borderId="61" xfId="0" applyNumberFormat="1" applyFont="1" applyFill="1" applyBorder="1"/>
    <xf numFmtId="172" fontId="49" fillId="6" borderId="0" xfId="0" applyNumberFormat="1" applyFont="1" applyFill="1"/>
    <xf numFmtId="172" fontId="49" fillId="6" borderId="32" xfId="0" applyNumberFormat="1" applyFont="1" applyFill="1" applyBorder="1"/>
    <xf numFmtId="9" fontId="49" fillId="0" borderId="8" xfId="0" applyNumberFormat="1" applyFont="1" applyBorder="1"/>
    <xf numFmtId="9" fontId="49" fillId="0" borderId="0" xfId="0" applyNumberFormat="1" applyFont="1"/>
    <xf numFmtId="9" fontId="49" fillId="0" borderId="62" xfId="0" applyNumberFormat="1" applyFont="1" applyBorder="1"/>
    <xf numFmtId="9" fontId="49" fillId="0" borderId="28" xfId="0" applyNumberFormat="1" applyFont="1" applyBorder="1"/>
    <xf numFmtId="9" fontId="49" fillId="0" borderId="29" xfId="0" applyNumberFormat="1" applyFont="1" applyBorder="1"/>
    <xf numFmtId="172" fontId="49" fillId="6" borderId="41" xfId="0" applyNumberFormat="1" applyFont="1" applyFill="1" applyBorder="1"/>
    <xf numFmtId="172" fontId="49" fillId="6" borderId="34" xfId="0" applyNumberFormat="1" applyFont="1" applyFill="1" applyBorder="1"/>
    <xf numFmtId="9" fontId="49" fillId="0" borderId="21" xfId="0" applyNumberFormat="1" applyFont="1" applyBorder="1"/>
    <xf numFmtId="9" fontId="49" fillId="0" borderId="32" xfId="0" applyNumberFormat="1" applyFont="1" applyBorder="1"/>
    <xf numFmtId="0" fontId="49" fillId="0" borderId="56" xfId="0" applyFont="1" applyBorder="1"/>
    <xf numFmtId="0" fontId="49" fillId="0" borderId="71" xfId="0" applyFont="1" applyBorder="1"/>
    <xf numFmtId="0" fontId="49" fillId="0" borderId="72" xfId="0" applyFont="1" applyBorder="1"/>
    <xf numFmtId="0" fontId="49" fillId="0" borderId="73" xfId="0" applyFont="1" applyBorder="1"/>
    <xf numFmtId="172" fontId="49" fillId="6" borderId="5" xfId="0" applyNumberFormat="1" applyFont="1" applyFill="1" applyBorder="1"/>
    <xf numFmtId="172" fontId="49" fillId="6" borderId="6" xfId="0" applyNumberFormat="1" applyFont="1" applyFill="1" applyBorder="1"/>
    <xf numFmtId="172" fontId="49" fillId="6" borderId="19" xfId="0" applyNumberFormat="1" applyFont="1" applyFill="1" applyBorder="1"/>
    <xf numFmtId="172" fontId="49" fillId="6" borderId="23" xfId="0" applyNumberFormat="1" applyFont="1" applyFill="1" applyBorder="1"/>
    <xf numFmtId="172" fontId="49" fillId="6" borderId="36" xfId="0" applyNumberFormat="1" applyFont="1" applyFill="1" applyBorder="1"/>
    <xf numFmtId="172" fontId="49" fillId="6" borderId="7" xfId="0" applyNumberFormat="1" applyFont="1" applyFill="1" applyBorder="1"/>
    <xf numFmtId="0" fontId="49" fillId="0" borderId="30" xfId="0" applyFont="1" applyBorder="1"/>
    <xf numFmtId="176" fontId="49" fillId="0" borderId="2" xfId="1" applyNumberFormat="1" applyFont="1" applyBorder="1"/>
    <xf numFmtId="176" fontId="49" fillId="0" borderId="3" xfId="1" applyNumberFormat="1" applyFont="1" applyBorder="1"/>
    <xf numFmtId="176" fontId="49" fillId="0" borderId="22" xfId="1" applyNumberFormat="1" applyFont="1" applyBorder="1"/>
    <xf numFmtId="176" fontId="49" fillId="0" borderId="60" xfId="1" applyNumberFormat="1" applyFont="1" applyBorder="1"/>
    <xf numFmtId="0" fontId="49" fillId="0" borderId="3" xfId="0" applyFont="1" applyBorder="1"/>
    <xf numFmtId="0" fontId="49" fillId="0" borderId="44" xfId="0" applyFont="1" applyBorder="1"/>
    <xf numFmtId="176" fontId="49" fillId="0" borderId="8" xfId="1" applyNumberFormat="1" applyFont="1" applyBorder="1"/>
    <xf numFmtId="176" fontId="49" fillId="0" borderId="0" xfId="1" applyNumberFormat="1" applyFont="1" applyBorder="1"/>
    <xf numFmtId="176" fontId="49" fillId="0" borderId="21" xfId="1" applyNumberFormat="1" applyFont="1" applyBorder="1"/>
    <xf numFmtId="176" fontId="49" fillId="0" borderId="61" xfId="1" applyNumberFormat="1" applyFont="1" applyBorder="1"/>
    <xf numFmtId="175" fontId="49" fillId="0" borderId="2" xfId="1" applyNumberFormat="1" applyFont="1" applyBorder="1"/>
    <xf numFmtId="175" fontId="49" fillId="0" borderId="3" xfId="1" applyNumberFormat="1" applyFont="1" applyBorder="1"/>
    <xf numFmtId="175" fontId="49" fillId="0" borderId="22" xfId="1" applyNumberFormat="1" applyFont="1" applyBorder="1"/>
    <xf numFmtId="175" fontId="49" fillId="0" borderId="60" xfId="1" applyNumberFormat="1" applyFont="1" applyBorder="1"/>
    <xf numFmtId="175" fontId="49" fillId="0" borderId="44" xfId="1" applyNumberFormat="1" applyFont="1" applyBorder="1"/>
    <xf numFmtId="0" fontId="49" fillId="0" borderId="33" xfId="0" applyFont="1" applyBorder="1"/>
    <xf numFmtId="176" fontId="49" fillId="0" borderId="59" xfId="1" applyNumberFormat="1" applyFont="1" applyBorder="1"/>
    <xf numFmtId="176" fontId="49" fillId="0" borderId="52" xfId="1" applyNumberFormat="1" applyFont="1" applyBorder="1"/>
    <xf numFmtId="176" fontId="49" fillId="0" borderId="63" xfId="1" applyNumberFormat="1" applyFont="1" applyBorder="1"/>
    <xf numFmtId="176" fontId="49" fillId="0" borderId="64" xfId="1" applyNumberFormat="1" applyFont="1" applyBorder="1"/>
    <xf numFmtId="176" fontId="49" fillId="0" borderId="53" xfId="1" applyNumberFormat="1" applyFont="1" applyBorder="1"/>
    <xf numFmtId="0" fontId="36" fillId="4" borderId="79" xfId="3" applyFont="1" applyFill="1" applyBorder="1" applyAlignment="1">
      <alignment wrapText="1"/>
    </xf>
    <xf numFmtId="0" fontId="49" fillId="0" borderId="67" xfId="0" applyFont="1" applyBorder="1"/>
    <xf numFmtId="0" fontId="49" fillId="0" borderId="80" xfId="0" applyFont="1" applyBorder="1"/>
    <xf numFmtId="165" fontId="17" fillId="0" borderId="81" xfId="0" applyNumberFormat="1" applyFont="1" applyBorder="1" applyAlignment="1">
      <alignment horizontal="right" vertical="top" wrapText="1"/>
    </xf>
    <xf numFmtId="0" fontId="49" fillId="0" borderId="81" xfId="0" applyFont="1" applyBorder="1"/>
    <xf numFmtId="0" fontId="49" fillId="0" borderId="78" xfId="0" applyFont="1" applyBorder="1"/>
    <xf numFmtId="0" fontId="49" fillId="0" borderId="82" xfId="0" applyFont="1" applyBorder="1"/>
    <xf numFmtId="0" fontId="49" fillId="0" borderId="37" xfId="0" applyFont="1" applyBorder="1"/>
    <xf numFmtId="0" fontId="0" fillId="0" borderId="81" xfId="0" applyBorder="1"/>
    <xf numFmtId="0" fontId="49" fillId="0" borderId="70" xfId="0" applyFont="1" applyBorder="1"/>
    <xf numFmtId="0" fontId="49" fillId="0" borderId="83" xfId="0" applyFont="1" applyBorder="1"/>
    <xf numFmtId="175" fontId="49" fillId="0" borderId="0" xfId="1" applyNumberFormat="1" applyFont="1" applyFill="1" applyBorder="1"/>
    <xf numFmtId="0" fontId="38" fillId="0" borderId="66" xfId="3" applyFont="1" applyBorder="1" applyAlignment="1">
      <alignment horizontal="right" wrapText="1"/>
    </xf>
    <xf numFmtId="176" fontId="49" fillId="0" borderId="81" xfId="0" applyNumberFormat="1" applyFont="1" applyBorder="1"/>
    <xf numFmtId="175" fontId="49" fillId="0" borderId="66" xfId="1" applyNumberFormat="1" applyFont="1" applyFill="1" applyBorder="1"/>
    <xf numFmtId="175" fontId="49" fillId="0" borderId="66" xfId="1" applyNumberFormat="1" applyFont="1" applyBorder="1"/>
    <xf numFmtId="176" fontId="49" fillId="0" borderId="32" xfId="1" applyNumberFormat="1" applyFont="1" applyBorder="1"/>
    <xf numFmtId="175" fontId="49" fillId="0" borderId="32" xfId="1" applyNumberFormat="1" applyFont="1" applyFill="1" applyBorder="1"/>
    <xf numFmtId="176" fontId="17" fillId="7" borderId="36" xfId="1" applyNumberFormat="1" applyFont="1" applyFill="1" applyBorder="1" applyAlignment="1">
      <alignment horizontal="left" vertical="center" wrapText="1"/>
    </xf>
    <xf numFmtId="176" fontId="49" fillId="0" borderId="78" xfId="0" applyNumberFormat="1" applyFont="1" applyBorder="1"/>
    <xf numFmtId="10" fontId="75" fillId="0" borderId="32" xfId="0" applyNumberFormat="1" applyFont="1" applyBorder="1"/>
    <xf numFmtId="166" fontId="17" fillId="0" borderId="32" xfId="0" applyNumberFormat="1" applyFont="1" applyBorder="1" applyAlignment="1">
      <alignment horizontal="right" vertical="top" wrapText="1"/>
    </xf>
    <xf numFmtId="0" fontId="49" fillId="0" borderId="34" xfId="0" applyFont="1" applyBorder="1"/>
    <xf numFmtId="0" fontId="50" fillId="12" borderId="69" xfId="0" applyFont="1" applyFill="1" applyBorder="1" applyAlignment="1">
      <alignment horizontal="center" vertical="center"/>
    </xf>
    <xf numFmtId="0" fontId="43" fillId="12" borderId="69" xfId="0" applyFont="1" applyFill="1" applyBorder="1" applyAlignment="1">
      <alignment horizontal="center"/>
    </xf>
    <xf numFmtId="0" fontId="45" fillId="12" borderId="69" xfId="0" applyFont="1" applyFill="1" applyBorder="1" applyAlignment="1">
      <alignment horizontal="center"/>
    </xf>
    <xf numFmtId="0" fontId="46" fillId="12" borderId="69" xfId="0" applyFont="1" applyFill="1" applyBorder="1" applyAlignment="1">
      <alignment horizontal="center"/>
    </xf>
    <xf numFmtId="0" fontId="43" fillId="12" borderId="69" xfId="0" applyFont="1" applyFill="1" applyBorder="1" applyAlignment="1">
      <alignment horizontal="center" vertical="center"/>
    </xf>
    <xf numFmtId="0" fontId="0" fillId="12" borderId="69" xfId="0" applyFill="1" applyBorder="1"/>
    <xf numFmtId="0" fontId="46" fillId="12" borderId="69" xfId="0" applyFont="1" applyFill="1" applyBorder="1"/>
    <xf numFmtId="0" fontId="47" fillId="12" borderId="69" xfId="0" applyFont="1" applyFill="1" applyBorder="1"/>
    <xf numFmtId="164" fontId="46" fillId="13" borderId="69" xfId="0" applyNumberFormat="1" applyFont="1" applyFill="1" applyBorder="1" applyAlignment="1">
      <alignment horizontal="center" indent="1"/>
    </xf>
    <xf numFmtId="0" fontId="46" fillId="13" borderId="69" xfId="0" applyFont="1" applyFill="1" applyBorder="1" applyAlignment="1">
      <alignment horizontal="center"/>
    </xf>
    <xf numFmtId="0" fontId="61" fillId="13" borderId="69" xfId="0" applyFont="1" applyFill="1" applyBorder="1"/>
    <xf numFmtId="0" fontId="68" fillId="13" borderId="69" xfId="0" applyFont="1" applyFill="1" applyBorder="1" applyAlignment="1">
      <alignment horizontal="center" vertical="center"/>
    </xf>
    <xf numFmtId="164" fontId="46" fillId="13" borderId="69" xfId="0" applyNumberFormat="1" applyFont="1" applyFill="1" applyBorder="1" applyAlignment="1">
      <alignment horizontal="center" indent="2"/>
    </xf>
    <xf numFmtId="0" fontId="46" fillId="13" borderId="69" xfId="0" applyFont="1" applyFill="1" applyBorder="1" applyAlignment="1">
      <alignment horizontal="center" indent="1"/>
    </xf>
    <xf numFmtId="0" fontId="43" fillId="13" borderId="69" xfId="0" applyFont="1" applyFill="1" applyBorder="1" applyAlignment="1">
      <alignment horizontal="center"/>
    </xf>
    <xf numFmtId="3" fontId="46" fillId="13" borderId="69" xfId="0" applyNumberFormat="1" applyFont="1" applyFill="1" applyBorder="1" applyAlignment="1">
      <alignment horizontal="center" indent="1"/>
    </xf>
    <xf numFmtId="0" fontId="46" fillId="28" borderId="69" xfId="0" applyFont="1" applyFill="1" applyBorder="1"/>
    <xf numFmtId="0" fontId="64" fillId="0" borderId="0" xfId="0" applyFont="1" applyAlignment="1">
      <alignment horizontal="center" vertical="center"/>
    </xf>
    <xf numFmtId="0" fontId="46" fillId="0" borderId="0" xfId="0" applyFont="1"/>
    <xf numFmtId="0" fontId="46" fillId="0" borderId="0" xfId="0" applyFont="1" applyAlignment="1">
      <alignment horizontal="center" indent="1"/>
    </xf>
    <xf numFmtId="0" fontId="46" fillId="0" borderId="0" xfId="0" applyFont="1" applyAlignment="1">
      <alignment horizontal="center"/>
    </xf>
    <xf numFmtId="0" fontId="43" fillId="0" borderId="0" xfId="0" applyFont="1" applyAlignment="1">
      <alignment horizontal="center" vertical="center"/>
    </xf>
    <xf numFmtId="0" fontId="61" fillId="0" borderId="0" xfId="0" applyFont="1"/>
    <xf numFmtId="0" fontId="43" fillId="0" borderId="0" xfId="0" applyFont="1" applyAlignment="1">
      <alignment vertical="center"/>
    </xf>
    <xf numFmtId="0" fontId="53" fillId="0" borderId="0" xfId="0" applyFont="1" applyAlignment="1">
      <alignment vertical="center"/>
    </xf>
    <xf numFmtId="0" fontId="53" fillId="0" borderId="0" xfId="0" applyFont="1" applyAlignment="1">
      <alignment horizontal="center" vertical="center"/>
    </xf>
    <xf numFmtId="0" fontId="55" fillId="0" borderId="0" xfId="0" applyFont="1" applyAlignment="1">
      <alignment horizontal="center" vertical="center"/>
    </xf>
    <xf numFmtId="0" fontId="39" fillId="0" borderId="0" xfId="0" applyFont="1"/>
    <xf numFmtId="0" fontId="39" fillId="0" borderId="0" xfId="0" applyFont="1" applyAlignment="1">
      <alignment horizontal="center" vertical="center"/>
    </xf>
    <xf numFmtId="0" fontId="0" fillId="13" borderId="69" xfId="0" applyFill="1" applyBorder="1"/>
    <xf numFmtId="0" fontId="43" fillId="12" borderId="69" xfId="0" applyFont="1" applyFill="1" applyBorder="1" applyAlignment="1">
      <alignment horizontal="left" vertical="center"/>
    </xf>
    <xf numFmtId="0" fontId="46" fillId="13" borderId="69" xfId="0" applyFont="1" applyFill="1" applyBorder="1" applyAlignment="1">
      <alignment horizontal="center" vertical="center"/>
    </xf>
    <xf numFmtId="0" fontId="66" fillId="13" borderId="69" xfId="0" applyFont="1" applyFill="1" applyBorder="1" applyAlignment="1">
      <alignment horizontal="center" vertical="center"/>
    </xf>
    <xf numFmtId="3" fontId="66" fillId="13" borderId="69" xfId="0" applyNumberFormat="1" applyFont="1" applyFill="1" applyBorder="1" applyAlignment="1">
      <alignment horizontal="center" vertical="center"/>
    </xf>
    <xf numFmtId="3" fontId="46" fillId="13" borderId="69" xfId="0" applyNumberFormat="1" applyFont="1" applyFill="1" applyBorder="1" applyAlignment="1">
      <alignment horizontal="center" vertical="center"/>
    </xf>
    <xf numFmtId="0" fontId="39" fillId="12" borderId="69" xfId="0" applyFont="1" applyFill="1" applyBorder="1"/>
    <xf numFmtId="0" fontId="43" fillId="28" borderId="69" xfId="0" applyFont="1" applyFill="1" applyBorder="1"/>
    <xf numFmtId="0" fontId="51" fillId="13" borderId="69" xfId="0" applyFont="1" applyFill="1" applyBorder="1" applyAlignment="1">
      <alignment horizontal="center"/>
    </xf>
    <xf numFmtId="0" fontId="62" fillId="13" borderId="69" xfId="0" applyFont="1" applyFill="1" applyBorder="1" applyAlignment="1">
      <alignment horizontal="center"/>
    </xf>
    <xf numFmtId="0" fontId="0" fillId="12" borderId="69" xfId="0" applyFill="1" applyBorder="1" applyAlignment="1">
      <alignment horizontal="center"/>
    </xf>
    <xf numFmtId="0" fontId="45" fillId="12" borderId="69" xfId="0" applyFont="1" applyFill="1" applyBorder="1" applyAlignment="1">
      <alignment horizontal="center" vertical="center"/>
    </xf>
    <xf numFmtId="0" fontId="46" fillId="12" borderId="69" xfId="0" applyFont="1" applyFill="1" applyBorder="1" applyAlignment="1">
      <alignment horizontal="center" vertical="center"/>
    </xf>
    <xf numFmtId="0" fontId="0" fillId="12" borderId="69" xfId="0" applyFill="1" applyBorder="1" applyAlignment="1">
      <alignment vertical="center"/>
    </xf>
    <xf numFmtId="0" fontId="72" fillId="13" borderId="69" xfId="0" applyFont="1" applyFill="1" applyBorder="1"/>
    <xf numFmtId="0" fontId="46" fillId="13" borderId="69" xfId="0" applyFont="1" applyFill="1" applyBorder="1" applyAlignment="1">
      <alignment horizontal="center" vertical="center" indent="1"/>
    </xf>
    <xf numFmtId="0" fontId="73" fillId="13" borderId="69" xfId="0" applyFont="1" applyFill="1" applyBorder="1" applyAlignment="1">
      <alignment horizontal="center"/>
    </xf>
    <xf numFmtId="0" fontId="39" fillId="13" borderId="69" xfId="0" applyFont="1" applyFill="1" applyBorder="1" applyAlignment="1">
      <alignment horizontal="center"/>
    </xf>
    <xf numFmtId="3" fontId="43" fillId="13" borderId="69" xfId="0" applyNumberFormat="1" applyFont="1" applyFill="1" applyBorder="1" applyAlignment="1">
      <alignment horizontal="center" vertical="center"/>
    </xf>
    <xf numFmtId="0" fontId="39" fillId="12" borderId="69" xfId="0" applyFont="1" applyFill="1" applyBorder="1" applyAlignment="1">
      <alignment horizontal="center" vertical="center"/>
    </xf>
    <xf numFmtId="0" fontId="39" fillId="13" borderId="69" xfId="0" applyFont="1" applyFill="1" applyBorder="1" applyAlignment="1">
      <alignment horizontal="center" vertical="center"/>
    </xf>
    <xf numFmtId="3" fontId="43" fillId="13" borderId="91" xfId="0" applyNumberFormat="1" applyFont="1" applyFill="1" applyBorder="1" applyAlignment="1">
      <alignment horizontal="center" vertical="center"/>
    </xf>
    <xf numFmtId="0" fontId="53" fillId="12" borderId="69" xfId="0" applyFont="1" applyFill="1" applyBorder="1" applyAlignment="1">
      <alignment vertical="center"/>
    </xf>
    <xf numFmtId="0" fontId="53" fillId="14" borderId="69" xfId="0" applyFont="1" applyFill="1" applyBorder="1" applyAlignment="1">
      <alignment horizontal="center" vertical="center"/>
    </xf>
    <xf numFmtId="0" fontId="53" fillId="25" borderId="69" xfId="0" applyFont="1" applyFill="1" applyBorder="1" applyAlignment="1">
      <alignment horizontal="center" vertical="center"/>
    </xf>
    <xf numFmtId="0" fontId="53" fillId="13" borderId="69" xfId="0" applyFont="1" applyFill="1" applyBorder="1" applyAlignment="1">
      <alignment horizontal="center" vertical="center"/>
    </xf>
    <xf numFmtId="0" fontId="50" fillId="13" borderId="69" xfId="0" applyFont="1" applyFill="1" applyBorder="1" applyAlignment="1">
      <alignment horizontal="center" vertical="center"/>
    </xf>
    <xf numFmtId="0" fontId="63" fillId="13" borderId="69" xfId="0" applyFont="1" applyFill="1" applyBorder="1" applyAlignment="1">
      <alignment horizontal="center" vertical="center"/>
    </xf>
    <xf numFmtId="0" fontId="1" fillId="0" borderId="3" xfId="8" applyBorder="1"/>
    <xf numFmtId="0" fontId="1" fillId="18" borderId="3" xfId="8" applyFill="1" applyBorder="1"/>
    <xf numFmtId="0" fontId="1" fillId="18" borderId="4" xfId="8" applyFill="1" applyBorder="1"/>
    <xf numFmtId="0" fontId="25" fillId="18" borderId="2" xfId="8" applyFont="1" applyFill="1" applyBorder="1"/>
    <xf numFmtId="0" fontId="47" fillId="0" borderId="69" xfId="0" applyFont="1" applyBorder="1"/>
    <xf numFmtId="0" fontId="46" fillId="0" borderId="69" xfId="0" applyFont="1" applyBorder="1" applyAlignment="1">
      <alignment horizontal="center" indent="1"/>
    </xf>
    <xf numFmtId="0" fontId="46" fillId="0" borderId="69" xfId="0" applyFont="1" applyBorder="1" applyAlignment="1">
      <alignment horizontal="center"/>
    </xf>
    <xf numFmtId="0" fontId="43" fillId="0" borderId="69" xfId="0" applyFont="1" applyBorder="1" applyAlignment="1">
      <alignment horizontal="center" vertical="center"/>
    </xf>
    <xf numFmtId="0" fontId="61" fillId="0" borderId="69" xfId="0" applyFont="1" applyBorder="1"/>
    <xf numFmtId="0" fontId="47" fillId="12" borderId="90" xfId="0" applyFont="1" applyFill="1" applyBorder="1"/>
    <xf numFmtId="0" fontId="46" fillId="13" borderId="90" xfId="0" applyFont="1" applyFill="1" applyBorder="1" applyAlignment="1">
      <alignment horizontal="center" indent="1"/>
    </xf>
    <xf numFmtId="0" fontId="46" fillId="13" borderId="90" xfId="0" applyFont="1" applyFill="1" applyBorder="1" applyAlignment="1">
      <alignment horizontal="center"/>
    </xf>
    <xf numFmtId="0" fontId="43" fillId="13" borderId="90" xfId="0" applyFont="1" applyFill="1" applyBorder="1" applyAlignment="1">
      <alignment horizontal="center" vertical="center"/>
    </xf>
    <xf numFmtId="0" fontId="61" fillId="13" borderId="90" xfId="0" applyFont="1" applyFill="1" applyBorder="1"/>
    <xf numFmtId="0" fontId="46" fillId="13" borderId="93" xfId="0" applyFont="1" applyFill="1" applyBorder="1" applyAlignment="1">
      <alignment horizontal="center" indent="1"/>
    </xf>
    <xf numFmtId="0" fontId="46" fillId="13" borderId="93" xfId="0" applyFont="1" applyFill="1" applyBorder="1" applyAlignment="1">
      <alignment horizontal="center"/>
    </xf>
    <xf numFmtId="0" fontId="43" fillId="13" borderId="93" xfId="0" applyFont="1" applyFill="1" applyBorder="1" applyAlignment="1">
      <alignment horizontal="center" vertical="center"/>
    </xf>
    <xf numFmtId="0" fontId="61" fillId="13" borderId="93" xfId="0" applyFont="1" applyFill="1" applyBorder="1"/>
    <xf numFmtId="0" fontId="39" fillId="0" borderId="69" xfId="0" applyFont="1" applyBorder="1"/>
    <xf numFmtId="0" fontId="46" fillId="0" borderId="69" xfId="0" applyFont="1" applyBorder="1" applyAlignment="1">
      <alignment horizontal="center" vertical="center"/>
    </xf>
    <xf numFmtId="0" fontId="43" fillId="0" borderId="69" xfId="0" applyFont="1" applyBorder="1"/>
    <xf numFmtId="0" fontId="0" fillId="0" borderId="69" xfId="0" applyBorder="1"/>
    <xf numFmtId="0" fontId="49" fillId="31" borderId="16" xfId="0" applyFont="1" applyFill="1" applyBorder="1"/>
    <xf numFmtId="0" fontId="1" fillId="33" borderId="14" xfId="8" applyFill="1" applyBorder="1"/>
    <xf numFmtId="0" fontId="1" fillId="33" borderId="13" xfId="8" applyFill="1" applyBorder="1"/>
    <xf numFmtId="0" fontId="1" fillId="33" borderId="15" xfId="8" applyFill="1" applyBorder="1"/>
    <xf numFmtId="0" fontId="1" fillId="18" borderId="2" xfId="8" applyFill="1" applyBorder="1" applyAlignment="1">
      <alignment horizontal="center"/>
    </xf>
    <xf numFmtId="0" fontId="1" fillId="18" borderId="8" xfId="8" applyFill="1" applyBorder="1" applyAlignment="1">
      <alignment horizontal="center"/>
    </xf>
    <xf numFmtId="0" fontId="1" fillId="0" borderId="9" xfId="8" applyBorder="1"/>
    <xf numFmtId="0" fontId="25" fillId="0" borderId="26" xfId="8" applyFont="1" applyBorder="1" applyAlignment="1">
      <alignment horizontal="left"/>
    </xf>
    <xf numFmtId="0" fontId="1" fillId="0" borderId="24" xfId="8" applyBorder="1" applyAlignment="1">
      <alignment horizontal="left"/>
    </xf>
    <xf numFmtId="0" fontId="1" fillId="0" borderId="4" xfId="8" applyBorder="1"/>
    <xf numFmtId="0" fontId="25" fillId="0" borderId="2" xfId="8" applyFont="1" applyBorder="1"/>
    <xf numFmtId="0" fontId="25" fillId="0" borderId="3" xfId="8" applyFont="1" applyBorder="1"/>
    <xf numFmtId="0" fontId="1" fillId="32" borderId="0" xfId="8" applyFill="1"/>
    <xf numFmtId="0" fontId="1" fillId="32" borderId="6" xfId="8" applyFill="1" applyBorder="1"/>
    <xf numFmtId="0" fontId="46" fillId="12" borderId="90" xfId="0" applyFont="1" applyFill="1" applyBorder="1"/>
    <xf numFmtId="0" fontId="46" fillId="13" borderId="90" xfId="0" applyFont="1" applyFill="1" applyBorder="1" applyAlignment="1">
      <alignment horizontal="center" vertical="center"/>
    </xf>
    <xf numFmtId="0" fontId="46" fillId="28" borderId="93" xfId="0" applyFont="1" applyFill="1" applyBorder="1"/>
    <xf numFmtId="0" fontId="46" fillId="13" borderId="93" xfId="0" applyFont="1" applyFill="1" applyBorder="1" applyAlignment="1">
      <alignment horizontal="center" vertical="center"/>
    </xf>
    <xf numFmtId="0" fontId="43" fillId="12" borderId="90" xfId="0" applyFont="1" applyFill="1" applyBorder="1"/>
    <xf numFmtId="0" fontId="72" fillId="13" borderId="93" xfId="0" applyFont="1" applyFill="1" applyBorder="1"/>
    <xf numFmtId="0" fontId="43" fillId="28" borderId="93" xfId="0" applyFont="1" applyFill="1" applyBorder="1"/>
    <xf numFmtId="0" fontId="33" fillId="0" borderId="0" xfId="4" applyBorder="1"/>
    <xf numFmtId="0" fontId="1" fillId="29" borderId="3" xfId="8" applyFill="1" applyBorder="1" applyAlignment="1">
      <alignment horizontal="center"/>
    </xf>
    <xf numFmtId="0" fontId="1" fillId="29" borderId="4" xfId="8" applyFill="1" applyBorder="1" applyAlignment="1">
      <alignment horizontal="center"/>
    </xf>
    <xf numFmtId="0" fontId="1" fillId="0" borderId="0" xfId="8" applyAlignment="1">
      <alignment wrapText="1"/>
    </xf>
    <xf numFmtId="0" fontId="1" fillId="29" borderId="14" xfId="8" applyFill="1" applyBorder="1" applyAlignment="1">
      <alignment horizontal="center"/>
    </xf>
    <xf numFmtId="0" fontId="1" fillId="32" borderId="9" xfId="8" applyFill="1" applyBorder="1"/>
    <xf numFmtId="0" fontId="1" fillId="32" borderId="7" xfId="8" applyFill="1" applyBorder="1"/>
    <xf numFmtId="0" fontId="1" fillId="26" borderId="5" xfId="8" applyFill="1" applyBorder="1"/>
    <xf numFmtId="0" fontId="1" fillId="26" borderId="6" xfId="8" applyFill="1" applyBorder="1"/>
    <xf numFmtId="0" fontId="76" fillId="30" borderId="5" xfId="0" applyFont="1" applyFill="1" applyBorder="1" applyAlignment="1">
      <alignment horizontal="center" vertical="top"/>
    </xf>
    <xf numFmtId="0" fontId="76" fillId="30" borderId="15" xfId="0" applyFont="1" applyFill="1" applyBorder="1" applyAlignment="1">
      <alignment horizontal="center" vertical="top"/>
    </xf>
    <xf numFmtId="0" fontId="76" fillId="30" borderId="7" xfId="0" applyFont="1" applyFill="1" applyBorder="1" applyAlignment="1">
      <alignment horizontal="center" vertical="top"/>
    </xf>
    <xf numFmtId="0" fontId="1" fillId="31" borderId="2" xfId="8" applyFill="1" applyBorder="1"/>
    <xf numFmtId="0" fontId="1" fillId="31" borderId="3" xfId="8" applyFill="1" applyBorder="1"/>
    <xf numFmtId="0" fontId="1" fillId="31" borderId="4" xfId="8" applyFill="1" applyBorder="1"/>
    <xf numFmtId="172" fontId="23" fillId="0" borderId="0" xfId="1" applyNumberFormat="1" applyFont="1" applyFill="1" applyBorder="1"/>
    <xf numFmtId="0" fontId="1" fillId="34" borderId="97" xfId="8" applyFill="1" applyBorder="1"/>
    <xf numFmtId="0" fontId="1" fillId="11" borderId="96" xfId="8" applyFill="1" applyBorder="1"/>
    <xf numFmtId="0" fontId="1" fillId="11" borderId="91" xfId="8" applyFill="1" applyBorder="1"/>
    <xf numFmtId="0" fontId="1" fillId="34" borderId="95" xfId="8" applyFill="1" applyBorder="1"/>
    <xf numFmtId="0" fontId="1" fillId="0" borderId="98" xfId="8" applyBorder="1"/>
    <xf numFmtId="0" fontId="79" fillId="35" borderId="4" xfId="8" applyFont="1" applyFill="1" applyBorder="1"/>
    <xf numFmtId="0" fontId="1" fillId="0" borderId="99" xfId="8" applyBorder="1"/>
    <xf numFmtId="0" fontId="78" fillId="35" borderId="97" xfId="8" applyFont="1" applyFill="1" applyBorder="1"/>
    <xf numFmtId="0" fontId="38" fillId="36" borderId="10" xfId="3" applyFont="1" applyFill="1" applyBorder="1" applyAlignment="1">
      <alignment horizontal="left" vertical="top"/>
    </xf>
    <xf numFmtId="0" fontId="38" fillId="36" borderId="11" xfId="3" applyFont="1" applyFill="1" applyBorder="1" applyAlignment="1">
      <alignment horizontal="left" vertical="top"/>
    </xf>
    <xf numFmtId="0" fontId="38" fillId="36" borderId="75" xfId="3" applyFont="1" applyFill="1" applyBorder="1" applyAlignment="1">
      <alignment horizontal="left" vertical="top"/>
    </xf>
    <xf numFmtId="0" fontId="19" fillId="37" borderId="57" xfId="3" applyFont="1" applyFill="1" applyBorder="1" applyAlignment="1">
      <alignment horizontal="left" vertical="center"/>
    </xf>
    <xf numFmtId="0" fontId="19" fillId="37" borderId="47" xfId="3" applyFont="1" applyFill="1" applyBorder="1" applyAlignment="1">
      <alignment horizontal="left" vertical="center"/>
    </xf>
    <xf numFmtId="0" fontId="19" fillId="37" borderId="40" xfId="3" applyFont="1" applyFill="1" applyBorder="1" applyAlignment="1">
      <alignment horizontal="left" vertical="center"/>
    </xf>
    <xf numFmtId="0" fontId="19" fillId="37" borderId="13" xfId="3" applyFont="1" applyFill="1" applyBorder="1" applyAlignment="1">
      <alignment horizontal="left" vertical="center"/>
    </xf>
    <xf numFmtId="0" fontId="19" fillId="37" borderId="8" xfId="3" applyFont="1" applyFill="1" applyBorder="1" applyAlignment="1">
      <alignment horizontal="left" vertical="center"/>
    </xf>
    <xf numFmtId="0" fontId="19" fillId="37" borderId="10" xfId="3" applyFont="1" applyFill="1" applyBorder="1" applyAlignment="1">
      <alignment horizontal="left" vertical="center"/>
    </xf>
    <xf numFmtId="173" fontId="38" fillId="6" borderId="5" xfId="3" applyNumberFormat="1" applyFont="1" applyFill="1" applyBorder="1" applyAlignment="1">
      <alignment horizontal="left" vertical="top"/>
    </xf>
    <xf numFmtId="173" fontId="49" fillId="0" borderId="0" xfId="3" applyNumberFormat="1" applyFont="1" applyAlignment="1">
      <alignment horizontal="right" vertical="top"/>
    </xf>
    <xf numFmtId="0" fontId="42" fillId="0" borderId="51" xfId="4" applyFont="1" applyBorder="1" applyAlignment="1">
      <alignment horizontal="center"/>
    </xf>
    <xf numFmtId="0" fontId="42" fillId="0" borderId="52" xfId="4" applyFont="1" applyBorder="1" applyAlignment="1">
      <alignment horizontal="center"/>
    </xf>
    <xf numFmtId="0" fontId="42" fillId="0" borderId="53" xfId="4" applyFont="1" applyBorder="1" applyAlignment="1">
      <alignment horizontal="center"/>
    </xf>
    <xf numFmtId="0" fontId="31" fillId="0" borderId="59" xfId="0" applyFont="1" applyBorder="1" applyAlignment="1">
      <alignment horizontal="center"/>
    </xf>
    <xf numFmtId="0" fontId="31" fillId="0" borderId="52" xfId="0" applyFont="1" applyBorder="1" applyAlignment="1">
      <alignment horizontal="center"/>
    </xf>
    <xf numFmtId="0" fontId="31" fillId="0" borderId="53" xfId="0" applyFont="1" applyBorder="1" applyAlignment="1">
      <alignment horizontal="center"/>
    </xf>
    <xf numFmtId="0" fontId="42" fillId="0" borderId="49" xfId="4" applyFont="1" applyBorder="1" applyAlignment="1">
      <alignment horizontal="center"/>
    </xf>
    <xf numFmtId="0" fontId="42" fillId="0" borderId="24" xfId="4" applyFont="1" applyBorder="1" applyAlignment="1">
      <alignment horizontal="center"/>
    </xf>
    <xf numFmtId="0" fontId="42" fillId="0" borderId="50" xfId="4" applyFont="1" applyBorder="1" applyAlignment="1">
      <alignment horizontal="center"/>
    </xf>
    <xf numFmtId="0" fontId="48" fillId="8" borderId="46" xfId="5" applyFont="1" applyBorder="1" applyAlignment="1">
      <alignment horizontal="center"/>
    </xf>
    <xf numFmtId="0" fontId="48" fillId="8" borderId="47" xfId="5" applyFont="1" applyBorder="1" applyAlignment="1">
      <alignment horizontal="center"/>
    </xf>
    <xf numFmtId="0" fontId="48" fillId="8" borderId="28" xfId="5" applyFont="1" applyBorder="1" applyAlignment="1">
      <alignment horizontal="center"/>
    </xf>
    <xf numFmtId="0" fontId="48" fillId="8" borderId="48" xfId="5" applyFont="1" applyBorder="1" applyAlignment="1">
      <alignment horizontal="center"/>
    </xf>
    <xf numFmtId="0" fontId="36" fillId="4" borderId="46" xfId="3" applyFont="1" applyFill="1" applyBorder="1" applyAlignment="1">
      <alignment horizontal="center"/>
    </xf>
    <xf numFmtId="0" fontId="36" fillId="4" borderId="47" xfId="3" applyFont="1" applyFill="1" applyBorder="1" applyAlignment="1">
      <alignment horizontal="center"/>
    </xf>
    <xf numFmtId="0" fontId="36" fillId="4" borderId="48" xfId="3" applyFont="1" applyFill="1" applyBorder="1" applyAlignment="1">
      <alignment horizontal="center"/>
    </xf>
    <xf numFmtId="0" fontId="0" fillId="0" borderId="0" xfId="0" applyAlignment="1">
      <alignment horizontal="left" vertical="top"/>
    </xf>
    <xf numFmtId="0" fontId="55" fillId="28" borderId="91" xfId="0" applyFont="1" applyFill="1" applyBorder="1" applyAlignment="1">
      <alignment horizontal="left" vertical="center" indent="1"/>
    </xf>
    <xf numFmtId="0" fontId="55" fillId="28" borderId="94" xfId="0" applyFont="1" applyFill="1" applyBorder="1" applyAlignment="1">
      <alignment horizontal="left" vertical="center" indent="1"/>
    </xf>
    <xf numFmtId="0" fontId="55" fillId="28" borderId="95" xfId="0" applyFont="1" applyFill="1" applyBorder="1" applyAlignment="1">
      <alignment horizontal="left" vertical="center" indent="1"/>
    </xf>
    <xf numFmtId="0" fontId="56" fillId="12" borderId="90" xfId="0" applyFont="1" applyFill="1" applyBorder="1" applyAlignment="1">
      <alignment horizontal="center" vertical="center"/>
    </xf>
    <xf numFmtId="0" fontId="56" fillId="12" borderId="92" xfId="0" applyFont="1" applyFill="1" applyBorder="1" applyAlignment="1">
      <alignment horizontal="center" vertical="center"/>
    </xf>
    <xf numFmtId="0" fontId="56" fillId="12" borderId="93" xfId="0" applyFont="1" applyFill="1" applyBorder="1" applyAlignment="1">
      <alignment horizontal="center" vertical="center"/>
    </xf>
    <xf numFmtId="0" fontId="53" fillId="11" borderId="91" xfId="0" applyFont="1" applyFill="1" applyBorder="1" applyAlignment="1">
      <alignment horizontal="center" vertical="center"/>
    </xf>
    <xf numFmtId="0" fontId="53" fillId="11" borderId="94" xfId="0" applyFont="1" applyFill="1" applyBorder="1" applyAlignment="1">
      <alignment horizontal="center" vertical="center"/>
    </xf>
    <xf numFmtId="0" fontId="53" fillId="11" borderId="95" xfId="0" applyFont="1" applyFill="1" applyBorder="1" applyAlignment="1">
      <alignment horizontal="center" vertical="center"/>
    </xf>
    <xf numFmtId="0" fontId="53" fillId="10" borderId="91" xfId="0" applyFont="1" applyFill="1" applyBorder="1" applyAlignment="1">
      <alignment horizontal="center" vertical="center"/>
    </xf>
    <xf numFmtId="0" fontId="53" fillId="10" borderId="95" xfId="0" applyFont="1" applyFill="1" applyBorder="1" applyAlignment="1">
      <alignment horizontal="center" vertical="center"/>
    </xf>
    <xf numFmtId="0" fontId="52" fillId="12" borderId="91" xfId="0" applyFont="1" applyFill="1" applyBorder="1" applyAlignment="1">
      <alignment horizontal="left" vertical="center" indent="2"/>
    </xf>
    <xf numFmtId="0" fontId="52" fillId="12" borderId="94" xfId="0" applyFont="1" applyFill="1" applyBorder="1" applyAlignment="1">
      <alignment horizontal="left" vertical="center" indent="2"/>
    </xf>
    <xf numFmtId="0" fontId="52" fillId="12" borderId="95" xfId="0" applyFont="1" applyFill="1" applyBorder="1" applyAlignment="1">
      <alignment horizontal="left" vertical="center" indent="2"/>
    </xf>
    <xf numFmtId="0" fontId="54" fillId="28" borderId="91" xfId="0" applyFont="1" applyFill="1" applyBorder="1" applyAlignment="1">
      <alignment horizontal="left" vertical="center" indent="1"/>
    </xf>
    <xf numFmtId="0" fontId="54" fillId="28" borderId="94" xfId="0" applyFont="1" applyFill="1" applyBorder="1" applyAlignment="1">
      <alignment horizontal="left" vertical="center" indent="1"/>
    </xf>
    <xf numFmtId="0" fontId="54" fillId="28" borderId="95" xfId="0" applyFont="1" applyFill="1" applyBorder="1" applyAlignment="1">
      <alignment horizontal="left" vertical="center" indent="1"/>
    </xf>
    <xf numFmtId="0" fontId="43" fillId="12" borderId="69" xfId="0" applyFont="1" applyFill="1" applyBorder="1" applyAlignment="1">
      <alignment horizontal="center" vertical="center"/>
    </xf>
    <xf numFmtId="0" fontId="39" fillId="12" borderId="69" xfId="0" applyFont="1" applyFill="1" applyBorder="1" applyAlignment="1">
      <alignment horizontal="center"/>
    </xf>
    <xf numFmtId="0" fontId="39" fillId="12" borderId="69" xfId="0" applyFont="1" applyFill="1" applyBorder="1" applyAlignment="1">
      <alignment horizontal="center" vertical="center"/>
    </xf>
    <xf numFmtId="0" fontId="39" fillId="13" borderId="69" xfId="0" applyFont="1" applyFill="1" applyBorder="1" applyAlignment="1">
      <alignment horizontal="center"/>
    </xf>
    <xf numFmtId="0" fontId="64" fillId="27" borderId="84" xfId="0" applyFont="1" applyFill="1" applyBorder="1" applyAlignment="1">
      <alignment horizontal="center" vertical="center"/>
    </xf>
    <xf numFmtId="0" fontId="64" fillId="27" borderId="85" xfId="0" applyFont="1" applyFill="1" applyBorder="1" applyAlignment="1">
      <alignment horizontal="center" vertical="center"/>
    </xf>
    <xf numFmtId="0" fontId="64" fillId="27" borderId="86" xfId="0" applyFont="1" applyFill="1" applyBorder="1" applyAlignment="1">
      <alignment horizontal="center" vertical="center"/>
    </xf>
    <xf numFmtId="0" fontId="64" fillId="27" borderId="87" xfId="0" applyFont="1" applyFill="1" applyBorder="1" applyAlignment="1">
      <alignment horizontal="center" vertical="center"/>
    </xf>
    <xf numFmtId="0" fontId="64" fillId="27" borderId="88" xfId="0" applyFont="1" applyFill="1" applyBorder="1" applyAlignment="1">
      <alignment horizontal="center" vertical="center"/>
    </xf>
    <xf numFmtId="0" fontId="64" fillId="27" borderId="89" xfId="0" applyFont="1" applyFill="1" applyBorder="1" applyAlignment="1">
      <alignment horizontal="center" vertical="center"/>
    </xf>
    <xf numFmtId="0" fontId="71" fillId="13" borderId="69" xfId="0" applyFont="1" applyFill="1" applyBorder="1" applyAlignment="1">
      <alignment horizontal="center" vertical="center"/>
    </xf>
    <xf numFmtId="0" fontId="71" fillId="13" borderId="90" xfId="0" applyFont="1" applyFill="1" applyBorder="1" applyAlignment="1">
      <alignment horizontal="center" vertical="center"/>
    </xf>
    <xf numFmtId="0" fontId="74" fillId="13" borderId="69" xfId="0" applyFont="1" applyFill="1" applyBorder="1" applyAlignment="1">
      <alignment horizontal="center" vertical="center"/>
    </xf>
    <xf numFmtId="0" fontId="74" fillId="13" borderId="90" xfId="0" applyFont="1" applyFill="1" applyBorder="1" applyAlignment="1">
      <alignment horizontal="center" vertical="center"/>
    </xf>
  </cellXfs>
  <cellStyles count="9">
    <cellStyle name="Accent4" xfId="5" builtinId="41"/>
    <cellStyle name="Invisible" xfId="2" xr:uid="{D740DA6D-7756-461D-8E80-AB894454C1A3}"/>
    <cellStyle name="Lien hypertexte" xfId="4" builtinId="8"/>
    <cellStyle name="Milliers" xfId="1" builtinId="3"/>
    <cellStyle name="Normal" xfId="0" builtinId="0"/>
    <cellStyle name="Normal 2" xfId="3" xr:uid="{F9509531-5EAD-4063-A051-0233F895A630}"/>
    <cellStyle name="Normal 3" xfId="8" xr:uid="{B1EBD7A5-EC42-5045-A375-23883BB4E562}"/>
    <cellStyle name="Pourcentage" xfId="6" builtinId="5"/>
    <cellStyle name="Satisfaisant" xfId="7" builtinId="26"/>
  </cellStyles>
  <dxfs count="0"/>
  <tableStyles count="0" defaultTableStyle="TableStyleMedium2" defaultPivotStyle="PivotStyleLight16"/>
  <colors>
    <mruColors>
      <color rgb="FF6CBB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2" name="Picture 2">
          <a:extLst>
            <a:ext uri="{FF2B5EF4-FFF2-40B4-BE49-F238E27FC236}">
              <a16:creationId xmlns:a16="http://schemas.microsoft.com/office/drawing/2014/main" id="{8A9DE235-5EF6-46A1-ACBE-EAE51B2FA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2" name="Picture 2">
          <a:extLst>
            <a:ext uri="{FF2B5EF4-FFF2-40B4-BE49-F238E27FC236}">
              <a16:creationId xmlns:a16="http://schemas.microsoft.com/office/drawing/2014/main" id="{9BD2E346-875A-43BC-B254-6FF5B00BA4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2" name="Picture 2">
          <a:extLst>
            <a:ext uri="{FF2B5EF4-FFF2-40B4-BE49-F238E27FC236}">
              <a16:creationId xmlns:a16="http://schemas.microsoft.com/office/drawing/2014/main" id="{B48D5EC3-E055-42A0-93E9-D0B4C0E3E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19050</xdr:colOff>
      <xdr:row>68</xdr:row>
      <xdr:rowOff>0</xdr:rowOff>
    </xdr:from>
    <xdr:to>
      <xdr:col>3</xdr:col>
      <xdr:colOff>581025</xdr:colOff>
      <xdr:row>68</xdr:row>
      <xdr:rowOff>1905000</xdr:rowOff>
    </xdr:to>
    <xdr:pic>
      <xdr:nvPicPr>
        <xdr:cNvPr id="3" name="Picture 3">
          <a:extLst>
            <a:ext uri="{FF2B5EF4-FFF2-40B4-BE49-F238E27FC236}">
              <a16:creationId xmlns:a16="http://schemas.microsoft.com/office/drawing/2014/main" id="{FE71DB01-4E95-45C8-BB63-38BB488CFB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10772775"/>
          <a:ext cx="5600700" cy="190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2" name="Picture 2">
          <a:extLst>
            <a:ext uri="{FF2B5EF4-FFF2-40B4-BE49-F238E27FC236}">
              <a16:creationId xmlns:a16="http://schemas.microsoft.com/office/drawing/2014/main" id="{18DF1CB1-5F83-4AC3-B3C4-7E8BC9F7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914400</xdr:colOff>
      <xdr:row>2</xdr:row>
      <xdr:rowOff>104775</xdr:rowOff>
    </xdr:to>
    <xdr:pic>
      <xdr:nvPicPr>
        <xdr:cNvPr id="2" name="Picture 2">
          <a:extLst>
            <a:ext uri="{FF2B5EF4-FFF2-40B4-BE49-F238E27FC236}">
              <a16:creationId xmlns:a16="http://schemas.microsoft.com/office/drawing/2014/main" id="{3FF84B67-0BC6-44B8-8434-3CBCAE887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914400"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18</xdr:col>
      <xdr:colOff>2981325</xdr:colOff>
      <xdr:row>4</xdr:row>
      <xdr:rowOff>38100</xdr:rowOff>
    </xdr:from>
    <xdr:to>
      <xdr:col>21</xdr:col>
      <xdr:colOff>1781175</xdr:colOff>
      <xdr:row>12</xdr:row>
      <xdr:rowOff>190500</xdr:rowOff>
    </xdr:to>
    <xdr:sp macro="" textlink="">
      <xdr:nvSpPr>
        <xdr:cNvPr id="15" name="ZoneTexte 1">
          <a:extLst>
            <a:ext uri="{FF2B5EF4-FFF2-40B4-BE49-F238E27FC236}">
              <a16:creationId xmlns:a16="http://schemas.microsoft.com/office/drawing/2014/main" id="{2384C082-322C-42D1-AFF7-32CA29BB7180}"/>
            </a:ext>
          </a:extLst>
        </xdr:cNvPr>
        <xdr:cNvSpPr txBox="1"/>
      </xdr:nvSpPr>
      <xdr:spPr>
        <a:xfrm>
          <a:off x="45653325" y="1571625"/>
          <a:ext cx="5886450" cy="2162175"/>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ctr">
          <a:noAutofit/>
        </a:bodyPr>
        <a:lstStyle/>
        <a:p>
          <a:pPr marL="0" indent="0" algn="l"/>
          <a:r>
            <a:rPr lang="en-US" sz="1400">
              <a:latin typeface="Arial" panose="020B0604020202020204" pitchFamily="34" charset="0"/>
              <a:cs typeface="Arial" panose="020B0604020202020204" pitchFamily="34" charset="0"/>
            </a:rPr>
            <a:t>We chose 6 compagnies to apply the method of comparables :</a:t>
          </a:r>
        </a:p>
        <a:p>
          <a:pPr marL="0" indent="0" algn="l"/>
          <a:endParaRPr lang="en-US" sz="1400">
            <a:latin typeface="Arial" panose="020B0604020202020204" pitchFamily="34" charset="0"/>
            <a:cs typeface="Arial" panose="020B0604020202020204" pitchFamily="34" charset="0"/>
          </a:endParaRPr>
        </a:p>
        <a:p>
          <a:pPr marL="0" indent="0" algn="l"/>
          <a:r>
            <a:rPr lang="en-US" sz="1100">
              <a:latin typeface="+mn-lt"/>
              <a:ea typeface="+mn-lt"/>
              <a:cs typeface="+mn-lt"/>
            </a:rPr>
            <a:t>- </a:t>
          </a:r>
          <a:r>
            <a:rPr lang="en-US" sz="1400">
              <a:latin typeface="Arial" panose="020B0604020202020204" pitchFamily="34" charset="0"/>
              <a:cs typeface="Arial" panose="020B0604020202020204" pitchFamily="34" charset="0"/>
            </a:rPr>
            <a:t>BASF, Posco chemical, Beijing Easpring Material technology,Johnson Matthey and Solvay</a:t>
          </a:r>
        </a:p>
        <a:p>
          <a:pPr marL="0" indent="0" algn="l"/>
          <a:endParaRPr lang="en-US" sz="1400">
            <a:latin typeface="Arial" panose="020B0604020202020204" pitchFamily="34" charset="0"/>
            <a:cs typeface="Arial" panose="020B0604020202020204" pitchFamily="34" charset="0"/>
          </a:endParaRPr>
        </a:p>
        <a:p>
          <a:pPr marL="0" indent="0" algn="l"/>
          <a:r>
            <a:rPr lang="en-US" sz="1400">
              <a:latin typeface="Arial" panose="020B0604020202020204" pitchFamily="34" charset="0"/>
              <a:cs typeface="Arial" panose="020B0604020202020204" pitchFamily="34" charset="0"/>
            </a:rPr>
            <a:t>- We apply this process for the years 2020 and 2021</a:t>
          </a:r>
        </a:p>
      </xdr:txBody>
    </xdr:sp>
    <xdr:clientData/>
  </xdr:twoCellAnchor>
  <xdr:twoCellAnchor>
    <xdr:from>
      <xdr:col>18</xdr:col>
      <xdr:colOff>2876550</xdr:colOff>
      <xdr:row>19</xdr:row>
      <xdr:rowOff>171450</xdr:rowOff>
    </xdr:from>
    <xdr:to>
      <xdr:col>21</xdr:col>
      <xdr:colOff>104775</xdr:colOff>
      <xdr:row>27</xdr:row>
      <xdr:rowOff>28575</xdr:rowOff>
    </xdr:to>
    <xdr:sp macro="" textlink="">
      <xdr:nvSpPr>
        <xdr:cNvPr id="19" name="ZoneTexte 2">
          <a:extLst>
            <a:ext uri="{FF2B5EF4-FFF2-40B4-BE49-F238E27FC236}">
              <a16:creationId xmlns:a16="http://schemas.microsoft.com/office/drawing/2014/main" id="{3B1EA62D-8BAC-46F5-97BA-0D70B4761C6B}"/>
            </a:ext>
            <a:ext uri="{147F2762-F138-4A5C-976F-8EAC2B608ADB}">
              <a16:predDERef xmlns:a16="http://schemas.microsoft.com/office/drawing/2014/main" pred="{2384C082-322C-42D1-AFF7-32CA29BB7180}"/>
            </a:ext>
          </a:extLst>
        </xdr:cNvPr>
        <xdr:cNvSpPr txBox="1"/>
      </xdr:nvSpPr>
      <xdr:spPr>
        <a:xfrm>
          <a:off x="45548550" y="5314950"/>
          <a:ext cx="4314825" cy="1695450"/>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400">
              <a:latin typeface="Arial" panose="020B0604020202020204" pitchFamily="34" charset="0"/>
              <a:cs typeface="Arial" panose="020B0604020202020204" pitchFamily="34" charset="0"/>
            </a:rPr>
            <a:t>We chose 4 multiples to make this analysis :</a:t>
          </a:r>
        </a:p>
        <a:p>
          <a:pPr marL="0" indent="0" algn="l"/>
          <a:r>
            <a:rPr lang="en-US" sz="1400">
              <a:latin typeface="Arial" panose="020B0604020202020204" pitchFamily="34" charset="0"/>
              <a:cs typeface="Arial" panose="020B0604020202020204" pitchFamily="34" charset="0"/>
            </a:rPr>
            <a:t>- Entreprise value / revenvue</a:t>
          </a:r>
        </a:p>
        <a:p>
          <a:pPr marL="0" marR="0" indent="0" algn="l">
            <a:lnSpc>
              <a:spcPct val="100000"/>
            </a:lnSpc>
            <a:spcBef>
              <a:spcPts val="0"/>
            </a:spcBef>
            <a:spcAft>
              <a:spcPts val="0"/>
            </a:spcAft>
          </a:pPr>
          <a:r>
            <a:rPr lang="en-US" sz="1400">
              <a:latin typeface="Arial" panose="020B0604020202020204" pitchFamily="34" charset="0"/>
              <a:cs typeface="Arial" panose="020B0604020202020204" pitchFamily="34" charset="0"/>
            </a:rPr>
            <a:t>- </a:t>
          </a:r>
          <a:r>
            <a:rPr lang="en-US" sz="1400" b="0" i="0" u="none" strike="noStrike">
              <a:solidFill>
                <a:srgbClr val="000000"/>
              </a:solidFill>
              <a:latin typeface="Arial" panose="020B0604020202020204" pitchFamily="34" charset="0"/>
              <a:cs typeface="Arial" panose="020B0604020202020204" pitchFamily="34" charset="0"/>
            </a:rPr>
            <a:t>Entreprise value / EBITDA</a:t>
          </a:r>
        </a:p>
        <a:p>
          <a:pPr marL="0" marR="0" indent="0" algn="l">
            <a:lnSpc>
              <a:spcPct val="100000"/>
            </a:lnSpc>
            <a:spcBef>
              <a:spcPts val="0"/>
            </a:spcBef>
            <a:spcAft>
              <a:spcPts val="0"/>
            </a:spcAft>
          </a:pPr>
          <a:r>
            <a:rPr lang="en-US" sz="1400" b="0" i="0" u="none" strike="noStrike">
              <a:solidFill>
                <a:srgbClr val="000000"/>
              </a:solidFill>
              <a:latin typeface="Arial" panose="020B0604020202020204" pitchFamily="34" charset="0"/>
              <a:cs typeface="Arial" panose="020B0604020202020204" pitchFamily="34" charset="0"/>
            </a:rPr>
            <a:t>- Entreprise value / EBIT</a:t>
          </a:r>
        </a:p>
        <a:p>
          <a:pPr marL="0" marR="0" indent="0" algn="l">
            <a:lnSpc>
              <a:spcPct val="100000"/>
            </a:lnSpc>
            <a:spcBef>
              <a:spcPts val="0"/>
            </a:spcBef>
            <a:spcAft>
              <a:spcPts val="0"/>
            </a:spcAft>
          </a:pPr>
          <a:r>
            <a:rPr lang="en-US" sz="1400" b="0" i="0" u="none" strike="noStrike">
              <a:solidFill>
                <a:srgbClr val="000000"/>
              </a:solidFill>
              <a:latin typeface="Arial" panose="020B0604020202020204" pitchFamily="34" charset="0"/>
              <a:cs typeface="Arial" panose="020B0604020202020204" pitchFamily="34" charset="0"/>
            </a:rPr>
            <a:t>- Price to eranings ratio (P/E)</a:t>
          </a:r>
        </a:p>
      </xdr:txBody>
    </xdr:sp>
    <xdr:clientData/>
  </xdr:twoCellAnchor>
  <xdr:twoCellAnchor>
    <xdr:from>
      <xdr:col>13</xdr:col>
      <xdr:colOff>828675</xdr:colOff>
      <xdr:row>94</xdr:row>
      <xdr:rowOff>38100</xdr:rowOff>
    </xdr:from>
    <xdr:to>
      <xdr:col>15</xdr:col>
      <xdr:colOff>885825</xdr:colOff>
      <xdr:row>101</xdr:row>
      <xdr:rowOff>114300</xdr:rowOff>
    </xdr:to>
    <xdr:sp macro="" textlink="">
      <xdr:nvSpPr>
        <xdr:cNvPr id="30" name="ZoneTexte 3">
          <a:extLst>
            <a:ext uri="{FF2B5EF4-FFF2-40B4-BE49-F238E27FC236}">
              <a16:creationId xmlns:a16="http://schemas.microsoft.com/office/drawing/2014/main" id="{3947CE8B-010A-467D-8C11-D00F647E9021}"/>
            </a:ext>
            <a:ext uri="{147F2762-F138-4A5C-976F-8EAC2B608ADB}">
              <a16:predDERef xmlns:a16="http://schemas.microsoft.com/office/drawing/2014/main" pred="{3B1EA62D-8BAC-46F5-97BA-0D70B4761C6B}"/>
            </a:ext>
          </a:extLst>
        </xdr:cNvPr>
        <xdr:cNvSpPr txBox="1"/>
      </xdr:nvSpPr>
      <xdr:spPr>
        <a:xfrm>
          <a:off x="28241625" y="26174700"/>
          <a:ext cx="6343650" cy="1743075"/>
        </a:xfrm>
        <a:prstGeom prst="rect">
          <a:avLst/>
        </a:prstGeom>
        <a:solidFill>
          <a:schemeClr val="lt1"/>
        </a:solidFill>
        <a:ln w="9525" cmpd="sng">
          <a:solidFill>
            <a:schemeClr val="lt1">
              <a:shade val="50000"/>
            </a:schemeClr>
          </a:solidFill>
        </a:ln>
      </xdr:spPr>
      <xdr:txBody>
        <a:bodyPr vertOverflow="clip" horzOverflow="clip" wrap="square" lIns="91440" tIns="45720" rIns="91440" bIns="45720" rtlCol="0" anchor="t">
          <a:noAutofit/>
        </a:bodyPr>
        <a:lstStyle/>
        <a:p>
          <a:pPr marL="0" indent="0" algn="l"/>
          <a:r>
            <a:rPr lang="en-US" sz="1100">
              <a:latin typeface="+mn-lt"/>
              <a:ea typeface="+mn-lt"/>
              <a:cs typeface="+mn-lt"/>
            </a:rPr>
            <a:t>For 2020, we have noticed that the share price is lower than it should be as many of our comparables have had negative net income and P/E</a:t>
          </a:r>
          <a:r>
            <a:rPr lang="en-US" sz="1400">
              <a:latin typeface="Arial" panose="020B0604020202020204" pitchFamily="34" charset="0"/>
              <a:cs typeface="Arial" panose="020B0604020202020204" pitchFamily="34" charset="0"/>
            </a:rPr>
            <a:t>. </a:t>
          </a:r>
        </a:p>
        <a:p>
          <a:pPr marL="0" indent="0" algn="l"/>
          <a:endParaRPr lang="en-US" sz="1400">
            <a:latin typeface="Arial" panose="020B0604020202020204" pitchFamily="34" charset="0"/>
            <a:cs typeface="Arial" panose="020B0604020202020204" pitchFamily="34" charset="0"/>
          </a:endParaRPr>
        </a:p>
        <a:p>
          <a:pPr marL="0" indent="0" algn="l"/>
          <a:r>
            <a:rPr lang="en-US" sz="1400">
              <a:latin typeface="Arial" panose="020B0604020202020204" pitchFamily="34" charset="0"/>
              <a:cs typeface="Arial" panose="020B0604020202020204" pitchFamily="34" charset="0"/>
            </a:rPr>
            <a:t>We therefore decided to calculate an alternative share value without taking these comparables into account</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14</xdr:col>
      <xdr:colOff>90753</xdr:colOff>
      <xdr:row>12</xdr:row>
      <xdr:rowOff>3629</xdr:rowOff>
    </xdr:from>
    <xdr:to>
      <xdr:col>16</xdr:col>
      <xdr:colOff>742</xdr:colOff>
      <xdr:row>15</xdr:row>
      <xdr:rowOff>37805</xdr:rowOff>
    </xdr:to>
    <xdr:pic>
      <xdr:nvPicPr>
        <xdr:cNvPr id="24" name="Image 1">
          <a:extLst>
            <a:ext uri="{FF2B5EF4-FFF2-40B4-BE49-F238E27FC236}">
              <a16:creationId xmlns:a16="http://schemas.microsoft.com/office/drawing/2014/main" id="{6ECAC01E-47C7-2140-B8ED-C0F0BFE12D14}"/>
            </a:ext>
          </a:extLst>
        </xdr:cNvPr>
        <xdr:cNvPicPr>
          <a:picLocks noChangeAspect="1"/>
        </xdr:cNvPicPr>
      </xdr:nvPicPr>
      <xdr:blipFill>
        <a:blip xmlns:r="http://schemas.openxmlformats.org/officeDocument/2006/relationships" r:embed="rId1"/>
        <a:stretch>
          <a:fillRect/>
        </a:stretch>
      </xdr:blipFill>
      <xdr:spPr>
        <a:xfrm>
          <a:off x="17929717" y="2677433"/>
          <a:ext cx="2036332" cy="635611"/>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evaluation-data.pwc.be/documentation/" TargetMode="External"/><Relationship Id="rId2" Type="http://schemas.openxmlformats.org/officeDocument/2006/relationships/hyperlink" Target="https://finance.yahoo.com/quote/UMI.BR/?guccounter=1" TargetMode="External"/><Relationship Id="rId1" Type="http://schemas.openxmlformats.org/officeDocument/2006/relationships/hyperlink" Target="https://ycharts.com/indicators/10_year_treasury_rate" TargetMode="External"/><Relationship Id="rId4"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igma-investments.com/wp-content/uploads/2020/09/Umicore_Pitch.pdf?fbclid=IwAR2bw7g9RmKi8q4l-IwQ9tYsDqeLQf0VcKTnDu5PC8yqC6TPnBjbyWRsFy4"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https://finance.yahoo.com/" TargetMode="External"/><Relationship Id="rId2" Type="http://schemas.openxmlformats.org/officeDocument/2006/relationships/hyperlink" Target="https://fr.investing.com/" TargetMode="External"/><Relationship Id="rId1" Type="http://schemas.openxmlformats.org/officeDocument/2006/relationships/hyperlink" Target="https://fr.tradingview.com/" TargetMode="External"/><Relationship Id="rId6" Type="http://schemas.openxmlformats.org/officeDocument/2006/relationships/drawing" Target="../drawings/drawing6.xml"/><Relationship Id="rId5" Type="http://schemas.openxmlformats.org/officeDocument/2006/relationships/hyperlink" Target="https://www.faurecia.com/" TargetMode="External"/><Relationship Id="rId4" Type="http://schemas.openxmlformats.org/officeDocument/2006/relationships/hyperlink" Target="https://www.basf.com/be/fr.html"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6B53E-8814-4B9B-9BEB-245DAE2ED581}">
  <sheetPr>
    <tabColor theme="0" tint="-0.249977111117893"/>
  </sheetPr>
  <dimension ref="A5:IO107"/>
  <sheetViews>
    <sheetView zoomScale="130" zoomScaleNormal="130" workbookViewId="0">
      <pane xSplit="1" ySplit="16" topLeftCell="B23" activePane="bottomRight" state="frozen"/>
      <selection pane="topRight" activeCell="B1" sqref="B1"/>
      <selection pane="bottomLeft" activeCell="A17" sqref="A17"/>
      <selection pane="bottomRight" activeCell="H113" sqref="H113"/>
    </sheetView>
  </sheetViews>
  <sheetFormatPr baseColWidth="10" defaultColWidth="8.54296875" defaultRowHeight="10"/>
  <cols>
    <col min="1" max="1" width="67.90625" style="2" customWidth="1"/>
    <col min="2" max="13" width="14.90625" style="2" customWidth="1"/>
    <col min="14" max="256" width="9.08984375" style="2"/>
    <col min="257" max="257" width="45.90625" style="2" customWidth="1"/>
    <col min="258" max="269" width="14.90625" style="2" customWidth="1"/>
    <col min="270" max="512" width="9.08984375" style="2"/>
    <col min="513" max="513" width="45.90625" style="2" customWidth="1"/>
    <col min="514" max="525" width="14.90625" style="2" customWidth="1"/>
    <col min="526" max="768" width="9.08984375" style="2"/>
    <col min="769" max="769" width="45.90625" style="2" customWidth="1"/>
    <col min="770" max="781" width="14.90625" style="2" customWidth="1"/>
    <col min="782" max="1024" width="9.08984375" style="2"/>
    <col min="1025" max="1025" width="45.90625" style="2" customWidth="1"/>
    <col min="1026" max="1037" width="14.90625" style="2" customWidth="1"/>
    <col min="1038" max="1280" width="9.08984375" style="2"/>
    <col min="1281" max="1281" width="45.90625" style="2" customWidth="1"/>
    <col min="1282" max="1293" width="14.90625" style="2" customWidth="1"/>
    <col min="1294" max="1536" width="9.08984375" style="2"/>
    <col min="1537" max="1537" width="45.90625" style="2" customWidth="1"/>
    <col min="1538" max="1549" width="14.90625" style="2" customWidth="1"/>
    <col min="1550" max="1792" width="9.08984375" style="2"/>
    <col min="1793" max="1793" width="45.90625" style="2" customWidth="1"/>
    <col min="1794" max="1805" width="14.90625" style="2" customWidth="1"/>
    <col min="1806" max="2048" width="9.08984375" style="2"/>
    <col min="2049" max="2049" width="45.90625" style="2" customWidth="1"/>
    <col min="2050" max="2061" width="14.90625" style="2" customWidth="1"/>
    <col min="2062" max="2304" width="9.08984375" style="2"/>
    <col min="2305" max="2305" width="45.90625" style="2" customWidth="1"/>
    <col min="2306" max="2317" width="14.90625" style="2" customWidth="1"/>
    <col min="2318" max="2560" width="9.08984375" style="2"/>
    <col min="2561" max="2561" width="45.90625" style="2" customWidth="1"/>
    <col min="2562" max="2573" width="14.90625" style="2" customWidth="1"/>
    <col min="2574" max="2816" width="9.08984375" style="2"/>
    <col min="2817" max="2817" width="45.90625" style="2" customWidth="1"/>
    <col min="2818" max="2829" width="14.90625" style="2" customWidth="1"/>
    <col min="2830" max="3072" width="9.08984375" style="2"/>
    <col min="3073" max="3073" width="45.90625" style="2" customWidth="1"/>
    <col min="3074" max="3085" width="14.90625" style="2" customWidth="1"/>
    <col min="3086" max="3328" width="9.08984375" style="2"/>
    <col min="3329" max="3329" width="45.90625" style="2" customWidth="1"/>
    <col min="3330" max="3341" width="14.90625" style="2" customWidth="1"/>
    <col min="3342" max="3584" width="9.08984375" style="2"/>
    <col min="3585" max="3585" width="45.90625" style="2" customWidth="1"/>
    <col min="3586" max="3597" width="14.90625" style="2" customWidth="1"/>
    <col min="3598" max="3840" width="9.08984375" style="2"/>
    <col min="3841" max="3841" width="45.90625" style="2" customWidth="1"/>
    <col min="3842" max="3853" width="14.90625" style="2" customWidth="1"/>
    <col min="3854" max="4096" width="9.08984375" style="2"/>
    <col min="4097" max="4097" width="45.90625" style="2" customWidth="1"/>
    <col min="4098" max="4109" width="14.90625" style="2" customWidth="1"/>
    <col min="4110" max="4352" width="9.08984375" style="2"/>
    <col min="4353" max="4353" width="45.90625" style="2" customWidth="1"/>
    <col min="4354" max="4365" width="14.90625" style="2" customWidth="1"/>
    <col min="4366" max="4608" width="9.08984375" style="2"/>
    <col min="4609" max="4609" width="45.90625" style="2" customWidth="1"/>
    <col min="4610" max="4621" width="14.90625" style="2" customWidth="1"/>
    <col min="4622" max="4864" width="9.08984375" style="2"/>
    <col min="4865" max="4865" width="45.90625" style="2" customWidth="1"/>
    <col min="4866" max="4877" width="14.90625" style="2" customWidth="1"/>
    <col min="4878" max="5120" width="9.08984375" style="2"/>
    <col min="5121" max="5121" width="45.90625" style="2" customWidth="1"/>
    <col min="5122" max="5133" width="14.90625" style="2" customWidth="1"/>
    <col min="5134" max="5376" width="9.08984375" style="2"/>
    <col min="5377" max="5377" width="45.90625" style="2" customWidth="1"/>
    <col min="5378" max="5389" width="14.90625" style="2" customWidth="1"/>
    <col min="5390" max="5632" width="9.08984375" style="2"/>
    <col min="5633" max="5633" width="45.90625" style="2" customWidth="1"/>
    <col min="5634" max="5645" width="14.90625" style="2" customWidth="1"/>
    <col min="5646" max="5888" width="9.08984375" style="2"/>
    <col min="5889" max="5889" width="45.90625" style="2" customWidth="1"/>
    <col min="5890" max="5901" width="14.90625" style="2" customWidth="1"/>
    <col min="5902" max="6144" width="9.08984375" style="2"/>
    <col min="6145" max="6145" width="45.90625" style="2" customWidth="1"/>
    <col min="6146" max="6157" width="14.90625" style="2" customWidth="1"/>
    <col min="6158" max="6400" width="9.08984375" style="2"/>
    <col min="6401" max="6401" width="45.90625" style="2" customWidth="1"/>
    <col min="6402" max="6413" width="14.90625" style="2" customWidth="1"/>
    <col min="6414" max="6656" width="9.08984375" style="2"/>
    <col min="6657" max="6657" width="45.90625" style="2" customWidth="1"/>
    <col min="6658" max="6669" width="14.90625" style="2" customWidth="1"/>
    <col min="6670" max="6912" width="9.08984375" style="2"/>
    <col min="6913" max="6913" width="45.90625" style="2" customWidth="1"/>
    <col min="6914" max="6925" width="14.90625" style="2" customWidth="1"/>
    <col min="6926" max="7168" width="9.08984375" style="2"/>
    <col min="7169" max="7169" width="45.90625" style="2" customWidth="1"/>
    <col min="7170" max="7181" width="14.90625" style="2" customWidth="1"/>
    <col min="7182" max="7424" width="9.08984375" style="2"/>
    <col min="7425" max="7425" width="45.90625" style="2" customWidth="1"/>
    <col min="7426" max="7437" width="14.90625" style="2" customWidth="1"/>
    <col min="7438" max="7680" width="9.08984375" style="2"/>
    <col min="7681" max="7681" width="45.90625" style="2" customWidth="1"/>
    <col min="7682" max="7693" width="14.90625" style="2" customWidth="1"/>
    <col min="7694" max="7936" width="9.08984375" style="2"/>
    <col min="7937" max="7937" width="45.90625" style="2" customWidth="1"/>
    <col min="7938" max="7949" width="14.90625" style="2" customWidth="1"/>
    <col min="7950" max="8192" width="9.08984375" style="2"/>
    <col min="8193" max="8193" width="45.90625" style="2" customWidth="1"/>
    <col min="8194" max="8205" width="14.90625" style="2" customWidth="1"/>
    <col min="8206" max="8448" width="9.08984375" style="2"/>
    <col min="8449" max="8449" width="45.90625" style="2" customWidth="1"/>
    <col min="8450" max="8461" width="14.90625" style="2" customWidth="1"/>
    <col min="8462" max="8704" width="9.08984375" style="2"/>
    <col min="8705" max="8705" width="45.90625" style="2" customWidth="1"/>
    <col min="8706" max="8717" width="14.90625" style="2" customWidth="1"/>
    <col min="8718" max="8960" width="9.08984375" style="2"/>
    <col min="8961" max="8961" width="45.90625" style="2" customWidth="1"/>
    <col min="8962" max="8973" width="14.90625" style="2" customWidth="1"/>
    <col min="8974" max="9216" width="9.08984375" style="2"/>
    <col min="9217" max="9217" width="45.90625" style="2" customWidth="1"/>
    <col min="9218" max="9229" width="14.90625" style="2" customWidth="1"/>
    <col min="9230" max="9472" width="9.08984375" style="2"/>
    <col min="9473" max="9473" width="45.90625" style="2" customWidth="1"/>
    <col min="9474" max="9485" width="14.90625" style="2" customWidth="1"/>
    <col min="9486" max="9728" width="9.08984375" style="2"/>
    <col min="9729" max="9729" width="45.90625" style="2" customWidth="1"/>
    <col min="9730" max="9741" width="14.90625" style="2" customWidth="1"/>
    <col min="9742" max="9984" width="9.08984375" style="2"/>
    <col min="9985" max="9985" width="45.90625" style="2" customWidth="1"/>
    <col min="9986" max="9997" width="14.90625" style="2" customWidth="1"/>
    <col min="9998" max="10240" width="9.08984375" style="2"/>
    <col min="10241" max="10241" width="45.90625" style="2" customWidth="1"/>
    <col min="10242" max="10253" width="14.90625" style="2" customWidth="1"/>
    <col min="10254" max="10496" width="9.08984375" style="2"/>
    <col min="10497" max="10497" width="45.90625" style="2" customWidth="1"/>
    <col min="10498" max="10509" width="14.90625" style="2" customWidth="1"/>
    <col min="10510" max="10752" width="9.08984375" style="2"/>
    <col min="10753" max="10753" width="45.90625" style="2" customWidth="1"/>
    <col min="10754" max="10765" width="14.90625" style="2" customWidth="1"/>
    <col min="10766" max="11008" width="9.08984375" style="2"/>
    <col min="11009" max="11009" width="45.90625" style="2" customWidth="1"/>
    <col min="11010" max="11021" width="14.90625" style="2" customWidth="1"/>
    <col min="11022" max="11264" width="9.08984375" style="2"/>
    <col min="11265" max="11265" width="45.90625" style="2" customWidth="1"/>
    <col min="11266" max="11277" width="14.90625" style="2" customWidth="1"/>
    <col min="11278" max="11520" width="9.08984375" style="2"/>
    <col min="11521" max="11521" width="45.90625" style="2" customWidth="1"/>
    <col min="11522" max="11533" width="14.90625" style="2" customWidth="1"/>
    <col min="11534" max="11776" width="9.08984375" style="2"/>
    <col min="11777" max="11777" width="45.90625" style="2" customWidth="1"/>
    <col min="11778" max="11789" width="14.90625" style="2" customWidth="1"/>
    <col min="11790" max="12032" width="9.08984375" style="2"/>
    <col min="12033" max="12033" width="45.90625" style="2" customWidth="1"/>
    <col min="12034" max="12045" width="14.90625" style="2" customWidth="1"/>
    <col min="12046" max="12288" width="9.08984375" style="2"/>
    <col min="12289" max="12289" width="45.90625" style="2" customWidth="1"/>
    <col min="12290" max="12301" width="14.90625" style="2" customWidth="1"/>
    <col min="12302" max="12544" width="9.08984375" style="2"/>
    <col min="12545" max="12545" width="45.90625" style="2" customWidth="1"/>
    <col min="12546" max="12557" width="14.90625" style="2" customWidth="1"/>
    <col min="12558" max="12800" width="9.08984375" style="2"/>
    <col min="12801" max="12801" width="45.90625" style="2" customWidth="1"/>
    <col min="12802" max="12813" width="14.90625" style="2" customWidth="1"/>
    <col min="12814" max="13056" width="9.08984375" style="2"/>
    <col min="13057" max="13057" width="45.90625" style="2" customWidth="1"/>
    <col min="13058" max="13069" width="14.90625" style="2" customWidth="1"/>
    <col min="13070" max="13312" width="9.08984375" style="2"/>
    <col min="13313" max="13313" width="45.90625" style="2" customWidth="1"/>
    <col min="13314" max="13325" width="14.90625" style="2" customWidth="1"/>
    <col min="13326" max="13568" width="9.08984375" style="2"/>
    <col min="13569" max="13569" width="45.90625" style="2" customWidth="1"/>
    <col min="13570" max="13581" width="14.90625" style="2" customWidth="1"/>
    <col min="13582" max="13824" width="9.08984375" style="2"/>
    <col min="13825" max="13825" width="45.90625" style="2" customWidth="1"/>
    <col min="13826" max="13837" width="14.90625" style="2" customWidth="1"/>
    <col min="13838" max="14080" width="9.08984375" style="2"/>
    <col min="14081" max="14081" width="45.90625" style="2" customWidth="1"/>
    <col min="14082" max="14093" width="14.90625" style="2" customWidth="1"/>
    <col min="14094" max="14336" width="9.08984375" style="2"/>
    <col min="14337" max="14337" width="45.90625" style="2" customWidth="1"/>
    <col min="14338" max="14349" width="14.90625" style="2" customWidth="1"/>
    <col min="14350" max="14592" width="9.08984375" style="2"/>
    <col min="14593" max="14593" width="45.90625" style="2" customWidth="1"/>
    <col min="14594" max="14605" width="14.90625" style="2" customWidth="1"/>
    <col min="14606" max="14848" width="9.08984375" style="2"/>
    <col min="14849" max="14849" width="45.90625" style="2" customWidth="1"/>
    <col min="14850" max="14861" width="14.90625" style="2" customWidth="1"/>
    <col min="14862" max="15104" width="9.08984375" style="2"/>
    <col min="15105" max="15105" width="45.90625" style="2" customWidth="1"/>
    <col min="15106" max="15117" width="14.90625" style="2" customWidth="1"/>
    <col min="15118" max="15360" width="9.08984375" style="2"/>
    <col min="15361" max="15361" width="45.90625" style="2" customWidth="1"/>
    <col min="15362" max="15373" width="14.90625" style="2" customWidth="1"/>
    <col min="15374" max="15616" width="9.08984375" style="2"/>
    <col min="15617" max="15617" width="45.90625" style="2" customWidth="1"/>
    <col min="15618" max="15629" width="14.90625" style="2" customWidth="1"/>
    <col min="15630" max="15872" width="9.08984375" style="2"/>
    <col min="15873" max="15873" width="45.90625" style="2" customWidth="1"/>
    <col min="15874" max="15885" width="14.90625" style="2" customWidth="1"/>
    <col min="15886" max="16128" width="9.08984375" style="2"/>
    <col min="16129" max="16129" width="45.90625" style="2" customWidth="1"/>
    <col min="16130" max="16141" width="14.90625" style="2" customWidth="1"/>
    <col min="16142" max="16384" width="9.08984375" style="2"/>
  </cols>
  <sheetData>
    <row r="5" spans="1:249" ht="17">
      <c r="A5" s="1" t="s">
        <v>0</v>
      </c>
    </row>
    <row r="7" spans="1:249" ht="10.5">
      <c r="A7" s="3" t="s">
        <v>1</v>
      </c>
      <c r="B7" s="4" t="s">
        <v>2</v>
      </c>
      <c r="C7" s="2" t="s">
        <v>3</v>
      </c>
      <c r="D7" s="5" t="s">
        <v>4</v>
      </c>
      <c r="E7" s="4" t="s">
        <v>5</v>
      </c>
      <c r="F7" s="2" t="s">
        <v>6</v>
      </c>
    </row>
    <row r="8" spans="1:249" ht="10.5">
      <c r="A8" s="5"/>
      <c r="B8" s="4" t="s">
        <v>7</v>
      </c>
      <c r="C8" s="2" t="s">
        <v>8</v>
      </c>
      <c r="D8" s="5" t="s">
        <v>4</v>
      </c>
      <c r="E8" s="4" t="s">
        <v>9</v>
      </c>
      <c r="F8" s="2" t="s">
        <v>10</v>
      </c>
    </row>
    <row r="9" spans="1:249" ht="10.5">
      <c r="A9" s="5"/>
      <c r="B9" s="4" t="s">
        <v>11</v>
      </c>
      <c r="C9" s="2" t="s">
        <v>12</v>
      </c>
      <c r="D9" s="5" t="s">
        <v>4</v>
      </c>
      <c r="E9" s="4" t="s">
        <v>13</v>
      </c>
      <c r="F9" s="2" t="s">
        <v>14</v>
      </c>
    </row>
    <row r="10" spans="1:249" ht="10.5">
      <c r="A10" s="5"/>
      <c r="B10" s="4" t="s">
        <v>15</v>
      </c>
      <c r="C10" s="2" t="s">
        <v>16</v>
      </c>
      <c r="D10" s="5" t="s">
        <v>4</v>
      </c>
      <c r="E10" s="4" t="s">
        <v>17</v>
      </c>
      <c r="F10" s="6" t="s">
        <v>18</v>
      </c>
    </row>
    <row r="11" spans="1:249" ht="10.5">
      <c r="A11" s="5"/>
      <c r="B11" s="4" t="s">
        <v>19</v>
      </c>
      <c r="C11" s="2" t="s">
        <v>20</v>
      </c>
      <c r="D11" s="5" t="s">
        <v>4</v>
      </c>
      <c r="E11" s="26"/>
      <c r="F11" s="26"/>
    </row>
    <row r="14" spans="1:249">
      <c r="A14" s="7" t="s">
        <v>21</v>
      </c>
      <c r="B14" s="7"/>
      <c r="C14" s="7"/>
      <c r="D14" s="7"/>
      <c r="E14" s="7"/>
      <c r="F14" s="7"/>
      <c r="G14" s="7"/>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row>
    <row r="15" spans="1:249" ht="21">
      <c r="A15" s="9" t="s">
        <v>22</v>
      </c>
      <c r="B15" s="33">
        <v>42369</v>
      </c>
      <c r="C15" s="33">
        <v>42735</v>
      </c>
      <c r="D15" s="33">
        <v>43100</v>
      </c>
      <c r="E15" s="33">
        <v>43465</v>
      </c>
      <c r="F15" s="10" t="s">
        <v>23</v>
      </c>
      <c r="G15" s="33">
        <v>44196</v>
      </c>
    </row>
    <row r="16" spans="1:249">
      <c r="A16" s="11" t="s">
        <v>24</v>
      </c>
      <c r="B16" s="12" t="s">
        <v>25</v>
      </c>
      <c r="C16" s="12" t="s">
        <v>25</v>
      </c>
      <c r="D16" s="12" t="s">
        <v>25</v>
      </c>
      <c r="E16" s="12" t="s">
        <v>25</v>
      </c>
      <c r="F16" s="12" t="s">
        <v>25</v>
      </c>
      <c r="G16" s="12" t="s">
        <v>25</v>
      </c>
    </row>
    <row r="17" spans="1:9" ht="10.5">
      <c r="A17" s="13" t="s">
        <v>26</v>
      </c>
      <c r="B17" s="5"/>
      <c r="C17" s="5"/>
      <c r="D17" s="5"/>
      <c r="E17" s="5"/>
      <c r="F17" s="5"/>
      <c r="G17" s="5"/>
    </row>
    <row r="18" spans="1:9">
      <c r="A18" s="5" t="s">
        <v>27</v>
      </c>
      <c r="B18" s="19">
        <v>74.486000000000004</v>
      </c>
      <c r="C18" s="19">
        <v>84.46</v>
      </c>
      <c r="D18" s="19">
        <v>168.11500000000001</v>
      </c>
      <c r="E18" s="19">
        <v>285.07900000000001</v>
      </c>
      <c r="F18" s="19">
        <v>271.72399999999999</v>
      </c>
      <c r="G18" s="19">
        <v>1010.307</v>
      </c>
    </row>
    <row r="19" spans="1:9">
      <c r="A19" s="5" t="s">
        <v>28</v>
      </c>
      <c r="B19" s="19" t="s">
        <v>29</v>
      </c>
      <c r="C19" s="19" t="s">
        <v>29</v>
      </c>
      <c r="D19" s="19" t="s">
        <v>29</v>
      </c>
      <c r="E19" s="19" t="s">
        <v>29</v>
      </c>
      <c r="F19" s="19" t="s">
        <v>29</v>
      </c>
      <c r="G19" s="19" t="s">
        <v>29</v>
      </c>
    </row>
    <row r="20" spans="1:9" ht="10.5">
      <c r="A20" s="13" t="s">
        <v>30</v>
      </c>
      <c r="B20" s="27">
        <v>74.486000000000004</v>
      </c>
      <c r="C20" s="27">
        <v>84.46</v>
      </c>
      <c r="D20" s="27">
        <v>168.11500000000001</v>
      </c>
      <c r="E20" s="27">
        <v>285.07900000000001</v>
      </c>
      <c r="F20" s="27">
        <v>271.72399999999999</v>
      </c>
      <c r="G20" s="27">
        <v>1010.307</v>
      </c>
    </row>
    <row r="21" spans="1:9">
      <c r="A21" s="5"/>
      <c r="B21" s="5"/>
      <c r="C21" s="5"/>
      <c r="D21" s="5"/>
      <c r="E21" s="5"/>
      <c r="F21" s="5"/>
      <c r="G21" s="5"/>
    </row>
    <row r="22" spans="1:9">
      <c r="A22" s="5" t="s">
        <v>31</v>
      </c>
      <c r="B22" s="19">
        <v>693.24599999999998</v>
      </c>
      <c r="C22" s="19">
        <v>697.37800000000004</v>
      </c>
      <c r="D22" s="19">
        <v>1067.8789999999999</v>
      </c>
      <c r="E22" s="19">
        <v>871.04600000000005</v>
      </c>
      <c r="F22" s="19">
        <v>1148.8530000000001</v>
      </c>
      <c r="G22" s="19">
        <v>1344.365</v>
      </c>
    </row>
    <row r="23" spans="1:9">
      <c r="A23" s="5" t="s">
        <v>32</v>
      </c>
      <c r="B23" s="19">
        <v>101.16</v>
      </c>
      <c r="C23" s="19">
        <v>104.646</v>
      </c>
      <c r="D23" s="19">
        <v>177.315</v>
      </c>
      <c r="E23" s="19">
        <v>282.76499999999999</v>
      </c>
      <c r="F23" s="19">
        <v>225.732</v>
      </c>
      <c r="G23" s="19">
        <v>216.84899999999999</v>
      </c>
      <c r="I23" s="47"/>
    </row>
    <row r="24" spans="1:9">
      <c r="A24" s="5" t="s">
        <v>33</v>
      </c>
      <c r="B24" s="19">
        <v>2.6539999999999999</v>
      </c>
      <c r="C24" s="19">
        <v>14.787000000000001</v>
      </c>
      <c r="D24" s="19">
        <v>1.75</v>
      </c>
      <c r="E24" s="19">
        <v>6.27</v>
      </c>
      <c r="F24" s="19">
        <v>2E-3</v>
      </c>
      <c r="G24" s="19">
        <v>0.08</v>
      </c>
      <c r="I24" s="47"/>
    </row>
    <row r="25" spans="1:9" ht="10.5">
      <c r="A25" s="13" t="s">
        <v>34</v>
      </c>
      <c r="B25" s="27">
        <v>797.06</v>
      </c>
      <c r="C25" s="27">
        <v>816.81100000000004</v>
      </c>
      <c r="D25" s="27">
        <v>1246.944</v>
      </c>
      <c r="E25" s="27">
        <v>1160.0809999999999</v>
      </c>
      <c r="F25" s="27">
        <v>1374.587</v>
      </c>
      <c r="G25" s="27">
        <v>1561.2940000000001</v>
      </c>
    </row>
    <row r="26" spans="1:9">
      <c r="A26" s="5"/>
      <c r="B26" s="5"/>
      <c r="C26" s="5"/>
      <c r="D26" s="5"/>
      <c r="E26" s="5"/>
      <c r="F26" s="5"/>
      <c r="G26" s="5"/>
    </row>
    <row r="27" spans="1:9">
      <c r="A27" s="5" t="s">
        <v>35</v>
      </c>
      <c r="B27" s="19">
        <v>1053.6690000000001</v>
      </c>
      <c r="C27" s="19">
        <v>1188.8219999999999</v>
      </c>
      <c r="D27" s="19">
        <v>1628.423</v>
      </c>
      <c r="E27" s="19">
        <v>2308.0940000000001</v>
      </c>
      <c r="F27" s="19">
        <v>2462.33</v>
      </c>
      <c r="G27" s="19">
        <v>2718.0920000000001</v>
      </c>
    </row>
    <row r="28" spans="1:9">
      <c r="A28" s="5" t="s">
        <v>36</v>
      </c>
      <c r="B28" s="19">
        <v>490.65699999999998</v>
      </c>
      <c r="C28" s="19">
        <v>328.24799999999999</v>
      </c>
      <c r="D28" s="19">
        <v>126.503</v>
      </c>
      <c r="E28" s="19">
        <v>53.841000000000001</v>
      </c>
      <c r="F28" s="19">
        <v>104.521</v>
      </c>
      <c r="G28" s="19">
        <v>155.506</v>
      </c>
    </row>
    <row r="29" spans="1:9" ht="10.5">
      <c r="A29" s="13" t="s">
        <v>37</v>
      </c>
      <c r="B29" s="27">
        <v>2415.8719999999998</v>
      </c>
      <c r="C29" s="27">
        <v>2418.3409999999999</v>
      </c>
      <c r="D29" s="27">
        <v>3169.9850000000001</v>
      </c>
      <c r="E29" s="27">
        <v>3807.0949999999998</v>
      </c>
      <c r="F29" s="27">
        <v>4213.1620000000003</v>
      </c>
      <c r="G29" s="27">
        <v>5445.1989999999996</v>
      </c>
    </row>
    <row r="30" spans="1:9">
      <c r="A30" s="5"/>
      <c r="B30" s="5"/>
      <c r="C30" s="5"/>
      <c r="D30" s="5"/>
      <c r="E30" s="5"/>
      <c r="F30" s="5"/>
      <c r="G30" s="5"/>
    </row>
    <row r="31" spans="1:9">
      <c r="A31" s="5" t="s">
        <v>38</v>
      </c>
      <c r="B31" s="19">
        <v>2635.8820000000001</v>
      </c>
      <c r="C31" s="19">
        <v>2817.1729999999998</v>
      </c>
      <c r="D31" s="19">
        <v>3205.5140000000001</v>
      </c>
      <c r="E31" s="19">
        <v>3697.4749999999999</v>
      </c>
      <c r="F31" s="19">
        <v>4376.8209999999999</v>
      </c>
      <c r="G31" s="19">
        <v>4606.8509999999997</v>
      </c>
    </row>
    <row r="32" spans="1:9">
      <c r="A32" s="5" t="s">
        <v>39</v>
      </c>
      <c r="B32" s="19">
        <v>-1613.3</v>
      </c>
      <c r="C32" s="19">
        <v>-1746.8</v>
      </c>
      <c r="D32" s="19">
        <v>-1904.1</v>
      </c>
      <c r="E32" s="19">
        <v>-2095.6</v>
      </c>
      <c r="F32" s="19">
        <v>-2282.1</v>
      </c>
      <c r="G32" s="19">
        <v>-2443.1999999999998</v>
      </c>
    </row>
    <row r="33" spans="1:7" ht="10.5">
      <c r="A33" s="13" t="s">
        <v>40</v>
      </c>
      <c r="B33" s="27">
        <v>1022.591</v>
      </c>
      <c r="C33" s="27">
        <v>1070.403</v>
      </c>
      <c r="D33" s="27">
        <v>1301.4110000000001</v>
      </c>
      <c r="E33" s="27">
        <v>1601.8920000000001</v>
      </c>
      <c r="F33" s="27">
        <v>2094.672</v>
      </c>
      <c r="G33" s="27">
        <v>2163.6610000000001</v>
      </c>
    </row>
    <row r="34" spans="1:7">
      <c r="A34" s="5"/>
      <c r="B34" s="5"/>
      <c r="C34" s="5"/>
      <c r="D34" s="5"/>
      <c r="E34" s="5"/>
      <c r="F34" s="5"/>
      <c r="G34" s="5"/>
    </row>
    <row r="35" spans="1:7">
      <c r="A35" s="5" t="s">
        <v>41</v>
      </c>
      <c r="B35" s="19">
        <v>219.03800000000001</v>
      </c>
      <c r="C35" s="19">
        <v>221.74600000000001</v>
      </c>
      <c r="D35" s="19">
        <v>175.339</v>
      </c>
      <c r="E35" s="19">
        <v>159.4</v>
      </c>
      <c r="F35" s="19">
        <v>161.53899999999999</v>
      </c>
      <c r="G35" s="19">
        <v>148.191</v>
      </c>
    </row>
    <row r="36" spans="1:7">
      <c r="A36" s="5" t="s">
        <v>42</v>
      </c>
      <c r="B36" s="19">
        <v>131.86000000000001</v>
      </c>
      <c r="C36" s="19">
        <v>132.59100000000001</v>
      </c>
      <c r="D36" s="19">
        <v>142.685</v>
      </c>
      <c r="E36" s="19">
        <v>142.49100000000001</v>
      </c>
      <c r="F36" s="19">
        <v>156.70500000000001</v>
      </c>
      <c r="G36" s="19">
        <v>155.99</v>
      </c>
    </row>
    <row r="37" spans="1:7">
      <c r="A37" s="5" t="s">
        <v>43</v>
      </c>
      <c r="B37" s="19">
        <v>79.299000000000007</v>
      </c>
      <c r="C37" s="19">
        <v>128.12799999999999</v>
      </c>
      <c r="D37" s="19">
        <v>143.23599999999999</v>
      </c>
      <c r="E37" s="19">
        <v>147.46100000000001</v>
      </c>
      <c r="F37" s="19">
        <v>160.38800000000001</v>
      </c>
      <c r="G37" s="19">
        <v>152.37899999999999</v>
      </c>
    </row>
    <row r="38" spans="1:7">
      <c r="A38" s="5" t="s">
        <v>44</v>
      </c>
      <c r="B38" s="19">
        <v>1.534</v>
      </c>
      <c r="C38" s="19">
        <v>1.2010000000000001</v>
      </c>
      <c r="D38" s="19">
        <v>11.285</v>
      </c>
      <c r="E38" s="19">
        <v>2.6269999999999998</v>
      </c>
      <c r="F38" s="19">
        <v>2.1920000000000002</v>
      </c>
      <c r="G38" s="19">
        <v>3.2519999999999998</v>
      </c>
    </row>
    <row r="39" spans="1:7">
      <c r="A39" s="5" t="s">
        <v>45</v>
      </c>
      <c r="B39" s="19">
        <v>104.057</v>
      </c>
      <c r="C39" s="19">
        <v>117.605</v>
      </c>
      <c r="D39" s="19">
        <v>114.68600000000001</v>
      </c>
      <c r="E39" s="19">
        <v>132.85499999999999</v>
      </c>
      <c r="F39" s="19">
        <v>168.92699999999999</v>
      </c>
      <c r="G39" s="19">
        <v>221.93799999999999</v>
      </c>
    </row>
    <row r="40" spans="1:7">
      <c r="A40" s="5" t="s">
        <v>46</v>
      </c>
      <c r="B40" s="19">
        <v>40.631999999999998</v>
      </c>
      <c r="C40" s="19">
        <v>44.621000000000002</v>
      </c>
      <c r="D40" s="19">
        <v>42.887</v>
      </c>
      <c r="E40" s="19">
        <v>47.353000000000002</v>
      </c>
      <c r="F40" s="19">
        <v>53.765999999999998</v>
      </c>
      <c r="G40" s="19">
        <v>38.518999999999998</v>
      </c>
    </row>
    <row r="41" spans="1:7">
      <c r="A41" s="5" t="s">
        <v>47</v>
      </c>
      <c r="B41" s="19">
        <v>15.192</v>
      </c>
      <c r="C41" s="19">
        <v>11.115</v>
      </c>
      <c r="D41" s="19">
        <v>14.147</v>
      </c>
      <c r="E41" s="19">
        <v>12.135999999999999</v>
      </c>
      <c r="F41" s="19">
        <v>12.039</v>
      </c>
      <c r="G41" s="19">
        <v>11.763999999999999</v>
      </c>
    </row>
    <row r="42" spans="1:7" ht="10.5">
      <c r="A42" s="13" t="s">
        <v>48</v>
      </c>
      <c r="B42" s="28">
        <v>4030.0749999999998</v>
      </c>
      <c r="C42" s="28">
        <v>4145.7510000000002</v>
      </c>
      <c r="D42" s="28">
        <v>5115.6610000000001</v>
      </c>
      <c r="E42" s="28">
        <v>6053.31</v>
      </c>
      <c r="F42" s="28">
        <v>7023.39</v>
      </c>
      <c r="G42" s="28">
        <v>8340.893</v>
      </c>
    </row>
    <row r="43" spans="1:7">
      <c r="A43" s="5"/>
      <c r="B43" s="5"/>
      <c r="C43" s="5"/>
      <c r="D43" s="5"/>
      <c r="E43" s="5"/>
      <c r="F43" s="5"/>
      <c r="G43" s="5"/>
    </row>
    <row r="44" spans="1:7" ht="10.5">
      <c r="A44" s="13" t="s">
        <v>49</v>
      </c>
      <c r="B44" s="5"/>
      <c r="C44" s="5"/>
      <c r="D44" s="5"/>
      <c r="E44" s="5"/>
      <c r="F44" s="5"/>
      <c r="G44" s="5"/>
    </row>
    <row r="45" spans="1:7">
      <c r="A45" s="5" t="s">
        <v>50</v>
      </c>
      <c r="B45" s="19">
        <v>737.505</v>
      </c>
      <c r="C45" s="19">
        <v>843.49800000000005</v>
      </c>
      <c r="D45" s="19">
        <v>1209.684</v>
      </c>
      <c r="E45" s="19">
        <v>1102.383</v>
      </c>
      <c r="F45" s="19">
        <v>1466.14</v>
      </c>
      <c r="G45" s="19">
        <v>1896.0989999999999</v>
      </c>
    </row>
    <row r="46" spans="1:7">
      <c r="A46" s="5" t="s">
        <v>51</v>
      </c>
      <c r="B46" s="19">
        <v>265.33100000000002</v>
      </c>
      <c r="C46" s="19">
        <v>248.685</v>
      </c>
      <c r="D46" s="19">
        <v>313.08699999999999</v>
      </c>
      <c r="E46" s="19">
        <v>319.404</v>
      </c>
      <c r="F46" s="19">
        <v>299.20499999999998</v>
      </c>
      <c r="G46" s="19">
        <v>352.16199999999998</v>
      </c>
    </row>
    <row r="47" spans="1:7">
      <c r="A47" s="5" t="s">
        <v>52</v>
      </c>
      <c r="B47" s="19">
        <v>338.73200000000003</v>
      </c>
      <c r="C47" s="19">
        <v>400.64299999999997</v>
      </c>
      <c r="D47" s="19">
        <v>293.72000000000003</v>
      </c>
      <c r="E47" s="19">
        <v>436.70400000000001</v>
      </c>
      <c r="F47" s="19">
        <v>560.36199999999997</v>
      </c>
      <c r="G47" s="19">
        <v>697.226</v>
      </c>
    </row>
    <row r="48" spans="1:7">
      <c r="A48" s="5" t="s">
        <v>53</v>
      </c>
      <c r="B48" s="19">
        <v>0.13900000000000001</v>
      </c>
      <c r="C48" s="19">
        <v>0.14299999999999999</v>
      </c>
      <c r="D48" s="19">
        <v>20.148</v>
      </c>
      <c r="E48" s="19">
        <v>5.6000000000000001E-2</v>
      </c>
      <c r="F48" s="19">
        <v>3.7010000000000001</v>
      </c>
      <c r="G48" s="19">
        <v>21.951000000000001</v>
      </c>
    </row>
    <row r="49" spans="1:7">
      <c r="A49" s="5" t="s">
        <v>54</v>
      </c>
      <c r="B49" s="19">
        <v>54.889000000000003</v>
      </c>
      <c r="C49" s="19">
        <v>57.665999999999997</v>
      </c>
      <c r="D49" s="19">
        <v>62.83</v>
      </c>
      <c r="E49" s="19">
        <v>74.5</v>
      </c>
      <c r="F49" s="19">
        <v>131.483</v>
      </c>
      <c r="G49" s="19">
        <v>160.73400000000001</v>
      </c>
    </row>
    <row r="50" spans="1:7">
      <c r="A50" s="5" t="s">
        <v>55</v>
      </c>
      <c r="B50" s="19">
        <v>16.707000000000001</v>
      </c>
      <c r="C50" s="19">
        <v>21.023</v>
      </c>
      <c r="D50" s="19">
        <v>31.946999999999999</v>
      </c>
      <c r="E50" s="19">
        <v>46.383000000000003</v>
      </c>
      <c r="F50" s="19">
        <v>15.448</v>
      </c>
      <c r="G50" s="19">
        <v>32.18</v>
      </c>
    </row>
    <row r="51" spans="1:7">
      <c r="A51" s="5" t="s">
        <v>56</v>
      </c>
      <c r="B51" s="19">
        <v>341.55900000000003</v>
      </c>
      <c r="C51" s="19">
        <v>234.76300000000001</v>
      </c>
      <c r="D51" s="19">
        <v>152.858</v>
      </c>
      <c r="E51" s="19">
        <v>229.16300000000001</v>
      </c>
      <c r="F51" s="19">
        <v>199.785</v>
      </c>
      <c r="G51" s="19">
        <v>198.78399999999999</v>
      </c>
    </row>
    <row r="52" spans="1:7" ht="10.5">
      <c r="A52" s="13" t="s">
        <v>57</v>
      </c>
      <c r="B52" s="27">
        <v>1754.8620000000001</v>
      </c>
      <c r="C52" s="27">
        <v>1806.421</v>
      </c>
      <c r="D52" s="27">
        <v>2084.2739999999999</v>
      </c>
      <c r="E52" s="27">
        <v>2208.5929999999998</v>
      </c>
      <c r="F52" s="27">
        <v>2676.1239999999998</v>
      </c>
      <c r="G52" s="27">
        <v>3359.136</v>
      </c>
    </row>
    <row r="53" spans="1:7">
      <c r="A53" s="5"/>
      <c r="B53" s="5"/>
      <c r="C53" s="5"/>
      <c r="D53" s="5"/>
      <c r="E53" s="5"/>
      <c r="F53" s="5"/>
      <c r="G53" s="5"/>
    </row>
    <row r="54" spans="1:7">
      <c r="A54" s="5" t="s">
        <v>58</v>
      </c>
      <c r="B54" s="19">
        <v>71.298000000000002</v>
      </c>
      <c r="C54" s="19">
        <v>24.393999999999998</v>
      </c>
      <c r="D54" s="19">
        <v>694.10400000000004</v>
      </c>
      <c r="E54" s="19">
        <v>708.846</v>
      </c>
      <c r="F54" s="19">
        <v>1104.8209999999999</v>
      </c>
      <c r="G54" s="19">
        <v>1652.289</v>
      </c>
    </row>
    <row r="55" spans="1:7">
      <c r="A55" s="5" t="s">
        <v>59</v>
      </c>
      <c r="B55" s="19" t="s">
        <v>29</v>
      </c>
      <c r="C55" s="19" t="s">
        <v>29</v>
      </c>
      <c r="D55" s="19" t="s">
        <v>29</v>
      </c>
      <c r="E55" s="19" t="s">
        <v>29</v>
      </c>
      <c r="F55" s="19">
        <v>46.262</v>
      </c>
      <c r="G55" s="19">
        <v>52.865000000000002</v>
      </c>
    </row>
    <row r="56" spans="1:7">
      <c r="A56" s="5" t="s">
        <v>60</v>
      </c>
      <c r="B56" s="19">
        <v>14.712</v>
      </c>
      <c r="C56" s="19">
        <v>12.536</v>
      </c>
      <c r="D56" s="19">
        <v>10.555</v>
      </c>
      <c r="E56" s="19">
        <v>10.971</v>
      </c>
      <c r="F56" s="19">
        <v>16.021000000000001</v>
      </c>
      <c r="G56" s="19">
        <v>17.823</v>
      </c>
    </row>
    <row r="57" spans="1:7">
      <c r="A57" s="5" t="s">
        <v>61</v>
      </c>
      <c r="B57" s="19">
        <v>312.35700000000003</v>
      </c>
      <c r="C57" s="19">
        <v>337.90699999999998</v>
      </c>
      <c r="D57" s="19">
        <v>342.81299999999999</v>
      </c>
      <c r="E57" s="19">
        <v>333.791</v>
      </c>
      <c r="F57" s="19">
        <v>392.65100000000001</v>
      </c>
      <c r="G57" s="19">
        <v>426.35599999999999</v>
      </c>
    </row>
    <row r="58" spans="1:7">
      <c r="A58" s="5" t="s">
        <v>62</v>
      </c>
      <c r="B58" s="19">
        <v>6.2350000000000003</v>
      </c>
      <c r="C58" s="19">
        <v>6.9240000000000004</v>
      </c>
      <c r="D58" s="19">
        <v>3.54</v>
      </c>
      <c r="E58" s="19">
        <v>6.2249999999999996</v>
      </c>
      <c r="F58" s="19">
        <v>11.461</v>
      </c>
      <c r="G58" s="19">
        <v>22.846</v>
      </c>
    </row>
    <row r="59" spans="1:7">
      <c r="A59" s="5" t="s">
        <v>63</v>
      </c>
      <c r="B59" s="19">
        <v>85.641999999999996</v>
      </c>
      <c r="C59" s="19">
        <v>109.52500000000001</v>
      </c>
      <c r="D59" s="19">
        <v>117.739</v>
      </c>
      <c r="E59" s="19">
        <v>125.54900000000001</v>
      </c>
      <c r="F59" s="19">
        <v>115.578</v>
      </c>
      <c r="G59" s="19">
        <v>187.72200000000001</v>
      </c>
    </row>
    <row r="60" spans="1:7" ht="10.5">
      <c r="A60" s="13" t="s">
        <v>64</v>
      </c>
      <c r="B60" s="27">
        <v>2245.1060000000002</v>
      </c>
      <c r="C60" s="27">
        <v>2297.7069999999999</v>
      </c>
      <c r="D60" s="27">
        <v>3253.0250000000001</v>
      </c>
      <c r="E60" s="27">
        <v>3393.9749999999999</v>
      </c>
      <c r="F60" s="27">
        <v>4362.9179999999997</v>
      </c>
      <c r="G60" s="27">
        <v>5719.0370000000003</v>
      </c>
    </row>
    <row r="61" spans="1:7">
      <c r="A61" s="5"/>
      <c r="B61" s="5"/>
      <c r="C61" s="5"/>
      <c r="D61" s="5"/>
      <c r="E61" s="5"/>
      <c r="F61" s="5"/>
      <c r="G61" s="5"/>
    </row>
    <row r="62" spans="1:7">
      <c r="A62" s="5" t="s">
        <v>65</v>
      </c>
      <c r="B62" s="19">
        <v>502.86200000000002</v>
      </c>
      <c r="C62" s="19">
        <v>502.86200000000002</v>
      </c>
      <c r="D62" s="19">
        <v>502.86200000000002</v>
      </c>
      <c r="E62" s="19">
        <v>1384.2729999999999</v>
      </c>
      <c r="F62" s="19">
        <v>1384.2729999999999</v>
      </c>
      <c r="G62" s="19">
        <v>1384.2729999999999</v>
      </c>
    </row>
    <row r="63" spans="1:7">
      <c r="A63" s="5" t="s">
        <v>66</v>
      </c>
      <c r="B63" s="19" t="s">
        <v>29</v>
      </c>
      <c r="C63" s="19" t="s">
        <v>29</v>
      </c>
      <c r="D63" s="19" t="s">
        <v>29</v>
      </c>
      <c r="E63" s="19" t="s">
        <v>29</v>
      </c>
      <c r="F63" s="19" t="s">
        <v>29</v>
      </c>
      <c r="G63" s="19" t="s">
        <v>29</v>
      </c>
    </row>
    <row r="64" spans="1:7">
      <c r="A64" s="5" t="s">
        <v>67</v>
      </c>
      <c r="B64" s="19">
        <v>1501.29</v>
      </c>
      <c r="C64" s="19">
        <v>1559.9690000000001</v>
      </c>
      <c r="D64" s="19">
        <v>1584.442</v>
      </c>
      <c r="E64" s="19">
        <v>1610.8820000000001</v>
      </c>
      <c r="F64" s="19">
        <v>1678.355</v>
      </c>
      <c r="G64" s="19">
        <v>1749.655</v>
      </c>
    </row>
    <row r="65" spans="1:7">
      <c r="A65" s="5" t="s">
        <v>68</v>
      </c>
      <c r="B65" s="19">
        <v>-129.9</v>
      </c>
      <c r="C65" s="19">
        <v>-89.6</v>
      </c>
      <c r="D65" s="19">
        <v>-81.8</v>
      </c>
      <c r="E65" s="19">
        <v>-158.1</v>
      </c>
      <c r="F65" s="19">
        <v>-184.7</v>
      </c>
      <c r="G65" s="19">
        <v>-208.9</v>
      </c>
    </row>
    <row r="66" spans="1:7">
      <c r="A66" s="5" t="s">
        <v>69</v>
      </c>
      <c r="B66" s="19">
        <v>-141.80000000000001</v>
      </c>
      <c r="C66" s="19">
        <v>-183.6</v>
      </c>
      <c r="D66" s="19">
        <v>-202.5</v>
      </c>
      <c r="E66" s="19">
        <v>-227.6</v>
      </c>
      <c r="F66" s="19">
        <v>-284.5</v>
      </c>
      <c r="G66" s="19">
        <v>-367.8</v>
      </c>
    </row>
    <row r="67" spans="1:7" ht="10.5">
      <c r="A67" s="13" t="s">
        <v>70</v>
      </c>
      <c r="B67" s="27">
        <v>1732.3920000000001</v>
      </c>
      <c r="C67" s="27">
        <v>1789.598</v>
      </c>
      <c r="D67" s="27">
        <v>1803.0329999999999</v>
      </c>
      <c r="E67" s="27">
        <v>2609.4079999999999</v>
      </c>
      <c r="F67" s="27">
        <v>2593.4740000000002</v>
      </c>
      <c r="G67" s="27">
        <v>2557.1819999999998</v>
      </c>
    </row>
    <row r="68" spans="1:7">
      <c r="A68" s="5"/>
      <c r="B68" s="5"/>
      <c r="C68" s="5"/>
      <c r="D68" s="5"/>
      <c r="E68" s="5"/>
      <c r="F68" s="5"/>
      <c r="G68" s="5"/>
    </row>
    <row r="69" spans="1:7">
      <c r="A69" s="5" t="s">
        <v>71</v>
      </c>
      <c r="B69" s="19">
        <v>52.576999999999998</v>
      </c>
      <c r="C69" s="19">
        <v>58.445999999999998</v>
      </c>
      <c r="D69" s="19">
        <v>59.603000000000002</v>
      </c>
      <c r="E69" s="19">
        <v>49.927</v>
      </c>
      <c r="F69" s="19">
        <v>66.998000000000005</v>
      </c>
      <c r="G69" s="19">
        <v>64.674000000000007</v>
      </c>
    </row>
    <row r="70" spans="1:7">
      <c r="A70" s="5"/>
      <c r="B70" s="5"/>
      <c r="C70" s="5"/>
      <c r="D70" s="5"/>
      <c r="E70" s="5"/>
      <c r="F70" s="5"/>
      <c r="G70" s="5"/>
    </row>
    <row r="71" spans="1:7" ht="10.5">
      <c r="A71" s="13" t="s">
        <v>72</v>
      </c>
      <c r="B71" s="34">
        <v>1784.9690000000001</v>
      </c>
      <c r="C71" s="34">
        <v>1848.0440000000001</v>
      </c>
      <c r="D71" s="34">
        <v>1862.636</v>
      </c>
      <c r="E71" s="34">
        <v>2659.335</v>
      </c>
      <c r="F71" s="34">
        <v>2660.4720000000002</v>
      </c>
      <c r="G71" s="34">
        <v>2621.8560000000002</v>
      </c>
    </row>
    <row r="72" spans="1:7">
      <c r="A72" s="5"/>
      <c r="B72" s="5"/>
      <c r="C72" s="5"/>
      <c r="D72" s="5"/>
      <c r="E72" s="5"/>
      <c r="F72" s="5"/>
      <c r="G72" s="5"/>
    </row>
    <row r="73" spans="1:7" ht="10.5">
      <c r="A73" s="13" t="s">
        <v>73</v>
      </c>
      <c r="B73" s="35">
        <v>4030.0749999999998</v>
      </c>
      <c r="C73" s="35">
        <v>4145.7510000000002</v>
      </c>
      <c r="D73" s="35">
        <v>5115.6610000000001</v>
      </c>
      <c r="E73" s="35">
        <v>6053.31</v>
      </c>
      <c r="F73" s="35">
        <v>7023.39</v>
      </c>
      <c r="G73" s="35">
        <v>8340.893</v>
      </c>
    </row>
    <row r="74" spans="1:7">
      <c r="A74" s="5"/>
      <c r="B74" s="5"/>
      <c r="C74" s="5"/>
      <c r="D74" s="5"/>
      <c r="E74" s="5"/>
      <c r="F74" s="5"/>
      <c r="G74" s="5"/>
    </row>
    <row r="75" spans="1:7" ht="10.5">
      <c r="A75" s="13" t="s">
        <v>74</v>
      </c>
      <c r="B75" s="5"/>
      <c r="C75" s="5"/>
      <c r="D75" s="5"/>
      <c r="E75" s="5"/>
      <c r="F75" s="5"/>
      <c r="G75" s="5"/>
    </row>
    <row r="76" spans="1:7">
      <c r="A76" s="5" t="s">
        <v>75</v>
      </c>
      <c r="B76" s="19">
        <v>216.14493200000001</v>
      </c>
      <c r="C76" s="19">
        <v>218.65369999999999</v>
      </c>
      <c r="D76" s="19">
        <v>219.49443299999999</v>
      </c>
      <c r="E76" s="19">
        <v>241.04341700000001</v>
      </c>
      <c r="F76" s="19">
        <v>240.77545000000001</v>
      </c>
      <c r="G76" s="19">
        <v>240.666315</v>
      </c>
    </row>
    <row r="77" spans="1:7">
      <c r="A77" s="5" t="s">
        <v>76</v>
      </c>
      <c r="B77" s="19">
        <v>216.14493200000001</v>
      </c>
      <c r="C77" s="19">
        <v>218.65369999999999</v>
      </c>
      <c r="D77" s="19">
        <v>219.49443299999999</v>
      </c>
      <c r="E77" s="19">
        <v>241.04341700000001</v>
      </c>
      <c r="F77" s="19">
        <v>240.77545000000001</v>
      </c>
      <c r="G77" s="19">
        <v>240.666315</v>
      </c>
    </row>
    <row r="78" spans="1:7">
      <c r="A78" s="5" t="s">
        <v>77</v>
      </c>
      <c r="B78" s="21">
        <v>8.0149550000000005</v>
      </c>
      <c r="C78" s="21">
        <v>8.1846219999999992</v>
      </c>
      <c r="D78" s="21">
        <v>8.2144809999999993</v>
      </c>
      <c r="E78" s="21">
        <v>10.825468000000001</v>
      </c>
      <c r="F78" s="21">
        <v>10.771338999999999</v>
      </c>
      <c r="G78" s="21">
        <v>10.625425</v>
      </c>
    </row>
    <row r="79" spans="1:7">
      <c r="A79" s="5" t="s">
        <v>78</v>
      </c>
      <c r="B79" s="19">
        <v>1521.2329999999999</v>
      </c>
      <c r="C79" s="19">
        <v>1528.8789999999999</v>
      </c>
      <c r="D79" s="19">
        <v>1517.1120000000001</v>
      </c>
      <c r="E79" s="19">
        <v>2319.4560000000001</v>
      </c>
      <c r="F79" s="19">
        <v>2276.3809999999999</v>
      </c>
      <c r="G79" s="19">
        <v>2248.8130000000001</v>
      </c>
    </row>
    <row r="80" spans="1:7">
      <c r="A80" s="5" t="s">
        <v>79</v>
      </c>
      <c r="B80" s="21">
        <v>7.0380219999999998</v>
      </c>
      <c r="C80" s="21">
        <v>6.9922389999999996</v>
      </c>
      <c r="D80" s="21">
        <v>6.9118469999999999</v>
      </c>
      <c r="E80" s="21">
        <v>9.6225649999999998</v>
      </c>
      <c r="F80" s="21">
        <v>9.4543730000000004</v>
      </c>
      <c r="G80" s="21">
        <v>9.3441109999999998</v>
      </c>
    </row>
    <row r="81" spans="1:7">
      <c r="A81" s="5" t="s">
        <v>80</v>
      </c>
      <c r="B81" s="19">
        <v>410.16899999999998</v>
      </c>
      <c r="C81" s="19">
        <v>425.18</v>
      </c>
      <c r="D81" s="19">
        <v>1007.972</v>
      </c>
      <c r="E81" s="19">
        <v>1145.606</v>
      </c>
      <c r="F81" s="19">
        <v>1715.146</v>
      </c>
      <c r="G81" s="19">
        <v>2424.3310000000001</v>
      </c>
    </row>
    <row r="82" spans="1:7">
      <c r="A82" s="5" t="s">
        <v>81</v>
      </c>
      <c r="B82" s="19">
        <v>335.68299999999999</v>
      </c>
      <c r="C82" s="19">
        <v>340.72</v>
      </c>
      <c r="D82" s="19">
        <v>839.85699999999997</v>
      </c>
      <c r="E82" s="19">
        <v>860.52700000000004</v>
      </c>
      <c r="F82" s="19">
        <v>1443.422</v>
      </c>
      <c r="G82" s="19">
        <v>1414.0239999999999</v>
      </c>
    </row>
    <row r="83" spans="1:7">
      <c r="A83" s="5" t="s">
        <v>82</v>
      </c>
      <c r="B83" s="19">
        <v>312.35700000000003</v>
      </c>
      <c r="C83" s="19">
        <v>337.90699999999998</v>
      </c>
      <c r="D83" s="19">
        <v>342.24700000000001</v>
      </c>
      <c r="E83" s="19">
        <v>332.95100000000002</v>
      </c>
      <c r="F83" s="19">
        <v>391.733</v>
      </c>
      <c r="G83" s="19">
        <v>425.53199999999998</v>
      </c>
    </row>
    <row r="84" spans="1:7">
      <c r="A84" s="5" t="s">
        <v>83</v>
      </c>
      <c r="B84" s="19">
        <v>52.576999999999998</v>
      </c>
      <c r="C84" s="19">
        <v>58.445999999999998</v>
      </c>
      <c r="D84" s="19">
        <v>59.603000000000002</v>
      </c>
      <c r="E84" s="19">
        <v>49.927</v>
      </c>
      <c r="F84" s="19">
        <v>66.998000000000005</v>
      </c>
      <c r="G84" s="19">
        <v>64.674000000000007</v>
      </c>
    </row>
    <row r="85" spans="1:7">
      <c r="A85" s="5" t="s">
        <v>84</v>
      </c>
      <c r="B85" s="19">
        <v>189.80199999999999</v>
      </c>
      <c r="C85" s="19">
        <v>195.33199999999999</v>
      </c>
      <c r="D85" s="19">
        <v>153.00800000000001</v>
      </c>
      <c r="E85" s="19">
        <v>151.37200000000001</v>
      </c>
      <c r="F85" s="19">
        <v>150.642</v>
      </c>
      <c r="G85" s="19">
        <v>139.839</v>
      </c>
    </row>
    <row r="86" spans="1:7">
      <c r="A86" s="5" t="s">
        <v>85</v>
      </c>
      <c r="B86" s="18" t="s">
        <v>86</v>
      </c>
      <c r="C86" s="18" t="s">
        <v>86</v>
      </c>
      <c r="D86" s="18" t="s">
        <v>86</v>
      </c>
      <c r="E86" s="18" t="s">
        <v>86</v>
      </c>
      <c r="F86" s="18" t="s">
        <v>86</v>
      </c>
      <c r="G86" s="18" t="s">
        <v>86</v>
      </c>
    </row>
    <row r="87" spans="1:7">
      <c r="A87" s="5" t="s">
        <v>87</v>
      </c>
      <c r="B87" s="19">
        <v>55.398000000000003</v>
      </c>
      <c r="C87" s="19">
        <v>61.290999999999997</v>
      </c>
      <c r="D87" s="19">
        <v>63.262999999999998</v>
      </c>
      <c r="E87" s="19">
        <v>79.025000000000006</v>
      </c>
      <c r="F87" s="19">
        <v>87.03</v>
      </c>
      <c r="G87" s="19">
        <v>102.163</v>
      </c>
    </row>
    <row r="88" spans="1:7">
      <c r="A88" s="5" t="s">
        <v>88</v>
      </c>
      <c r="B88" s="19">
        <v>0.76</v>
      </c>
      <c r="C88" s="19">
        <v>7.282</v>
      </c>
      <c r="D88" s="19">
        <v>2.2719999999999998</v>
      </c>
      <c r="E88" s="19">
        <v>2.573</v>
      </c>
      <c r="F88" s="19">
        <v>1.454</v>
      </c>
      <c r="G88" s="19">
        <v>7.5030000000000001</v>
      </c>
    </row>
    <row r="89" spans="1:7">
      <c r="A89" s="5" t="s">
        <v>89</v>
      </c>
      <c r="B89" s="19">
        <v>1067.175</v>
      </c>
      <c r="C89" s="19">
        <v>1181.5450000000001</v>
      </c>
      <c r="D89" s="19">
        <v>1618.153</v>
      </c>
      <c r="E89" s="19">
        <v>2288.2840000000001</v>
      </c>
      <c r="F89" s="19">
        <v>2469.6329999999998</v>
      </c>
      <c r="G89" s="19">
        <v>2706.9189999999999</v>
      </c>
    </row>
    <row r="90" spans="1:7">
      <c r="A90" s="5" t="s">
        <v>90</v>
      </c>
      <c r="B90" s="19">
        <v>1.95</v>
      </c>
      <c r="C90" s="19">
        <v>5.68</v>
      </c>
      <c r="D90" s="19">
        <v>15.023999999999999</v>
      </c>
      <c r="E90" s="19">
        <v>7.9829999999999997</v>
      </c>
      <c r="F90" s="19">
        <v>6.173</v>
      </c>
      <c r="G90" s="19">
        <v>7.2220000000000004</v>
      </c>
    </row>
    <row r="91" spans="1:7">
      <c r="A91" s="5" t="s">
        <v>91</v>
      </c>
      <c r="B91" s="19">
        <v>740.01400000000001</v>
      </c>
      <c r="C91" s="19">
        <v>780.351</v>
      </c>
      <c r="D91" s="19">
        <v>859.43299999999999</v>
      </c>
      <c r="E91" s="19">
        <v>977.173</v>
      </c>
      <c r="F91" s="19">
        <v>1189.49</v>
      </c>
      <c r="G91" s="19">
        <v>1242.2929999999999</v>
      </c>
    </row>
    <row r="92" spans="1:7">
      <c r="A92" s="5" t="s">
        <v>92</v>
      </c>
      <c r="B92" s="19">
        <v>1722.308</v>
      </c>
      <c r="C92" s="19">
        <v>1863.4960000000001</v>
      </c>
      <c r="D92" s="19">
        <v>2029.902</v>
      </c>
      <c r="E92" s="19">
        <v>2316.8330000000001</v>
      </c>
      <c r="F92" s="19">
        <v>2644.741</v>
      </c>
      <c r="G92" s="19">
        <v>2739.2530000000002</v>
      </c>
    </row>
    <row r="93" spans="1:7">
      <c r="A93" s="5" t="s">
        <v>93</v>
      </c>
      <c r="B93" s="19">
        <v>157.07900000000001</v>
      </c>
      <c r="C93" s="19">
        <v>157.59899999999999</v>
      </c>
      <c r="D93" s="19">
        <v>300.87400000000002</v>
      </c>
      <c r="E93" s="19">
        <v>388.791</v>
      </c>
      <c r="F93" s="19">
        <v>461.36900000000003</v>
      </c>
      <c r="G93" s="19">
        <v>508.03300000000002</v>
      </c>
    </row>
    <row r="94" spans="1:7">
      <c r="A94" s="5" t="s">
        <v>94</v>
      </c>
      <c r="B94" s="36">
        <v>8254</v>
      </c>
      <c r="C94" s="36">
        <v>8780.94</v>
      </c>
      <c r="D94" s="36">
        <v>9574</v>
      </c>
      <c r="E94" s="36">
        <v>10224.040000000001</v>
      </c>
      <c r="F94" s="36">
        <v>10956</v>
      </c>
      <c r="G94" s="36">
        <v>10576</v>
      </c>
    </row>
    <row r="95" spans="1:7">
      <c r="A95" s="5" t="s">
        <v>95</v>
      </c>
      <c r="B95" s="36">
        <v>658</v>
      </c>
      <c r="C95" s="36" t="s">
        <v>96</v>
      </c>
      <c r="D95" s="36" t="s">
        <v>96</v>
      </c>
      <c r="E95" s="36" t="s">
        <v>96</v>
      </c>
      <c r="F95" s="36" t="s">
        <v>96</v>
      </c>
      <c r="G95" s="36" t="s">
        <v>96</v>
      </c>
    </row>
    <row r="96" spans="1:7">
      <c r="A96" s="5" t="s">
        <v>97</v>
      </c>
      <c r="B96" s="19">
        <v>8.57</v>
      </c>
      <c r="C96" s="19">
        <v>9.2789999999999999</v>
      </c>
      <c r="D96" s="19">
        <v>7.5090000000000003</v>
      </c>
      <c r="E96" s="19">
        <v>22.576000000000001</v>
      </c>
      <c r="F96" s="19">
        <v>22.983000000000001</v>
      </c>
      <c r="G96" s="19">
        <v>22.318999999999999</v>
      </c>
    </row>
    <row r="97" spans="1:13">
      <c r="A97" s="5" t="s">
        <v>98</v>
      </c>
      <c r="B97" s="31">
        <v>42818</v>
      </c>
      <c r="C97" s="31">
        <v>43182</v>
      </c>
      <c r="D97" s="31">
        <v>43544</v>
      </c>
      <c r="E97" s="31">
        <v>43921</v>
      </c>
      <c r="F97" s="31">
        <v>44281</v>
      </c>
      <c r="G97" s="31">
        <v>44281</v>
      </c>
    </row>
    <row r="98" spans="1:13">
      <c r="A98" s="5" t="s">
        <v>99</v>
      </c>
      <c r="B98" s="18" t="s">
        <v>100</v>
      </c>
      <c r="C98" s="18" t="s">
        <v>100</v>
      </c>
      <c r="D98" s="18" t="s">
        <v>100</v>
      </c>
      <c r="E98" s="18" t="s">
        <v>100</v>
      </c>
      <c r="F98" s="18" t="s">
        <v>101</v>
      </c>
      <c r="G98" s="18" t="s">
        <v>102</v>
      </c>
    </row>
    <row r="99" spans="1:13">
      <c r="A99" s="5" t="s">
        <v>103</v>
      </c>
      <c r="B99" s="18" t="s">
        <v>104</v>
      </c>
      <c r="C99" s="18" t="s">
        <v>104</v>
      </c>
      <c r="D99" s="18" t="s">
        <v>104</v>
      </c>
      <c r="E99" s="18" t="s">
        <v>104</v>
      </c>
      <c r="F99" s="18" t="s">
        <v>104</v>
      </c>
      <c r="G99" s="18" t="s">
        <v>104</v>
      </c>
    </row>
    <row r="100" spans="1:13">
      <c r="A100" s="5"/>
      <c r="B100" s="5"/>
      <c r="C100" s="5"/>
      <c r="D100" s="5"/>
      <c r="E100" s="5"/>
      <c r="F100" s="5"/>
      <c r="G100" s="5"/>
    </row>
    <row r="101" spans="1:13">
      <c r="A101" s="5"/>
      <c r="B101" s="5" t="s">
        <v>105</v>
      </c>
      <c r="C101" s="5" t="s">
        <v>105</v>
      </c>
      <c r="D101" s="5" t="s">
        <v>105</v>
      </c>
      <c r="E101" s="5" t="s">
        <v>105</v>
      </c>
      <c r="F101" s="5" t="s">
        <v>105</v>
      </c>
      <c r="G101" s="5" t="s">
        <v>105</v>
      </c>
    </row>
    <row r="102" spans="1:13">
      <c r="A102" s="5" t="s">
        <v>24</v>
      </c>
      <c r="B102" s="18" t="s">
        <v>25</v>
      </c>
      <c r="C102" s="18" t="s">
        <v>25</v>
      </c>
      <c r="D102" s="18" t="s">
        <v>25</v>
      </c>
      <c r="E102" s="18" t="s">
        <v>25</v>
      </c>
      <c r="F102" s="18" t="s">
        <v>25</v>
      </c>
      <c r="G102" s="18" t="s">
        <v>25</v>
      </c>
    </row>
    <row r="103" spans="1:13">
      <c r="A103" s="5" t="s">
        <v>106</v>
      </c>
      <c r="B103" s="19">
        <v>1</v>
      </c>
      <c r="C103" s="19">
        <v>1</v>
      </c>
      <c r="D103" s="19">
        <v>1</v>
      </c>
      <c r="E103" s="19">
        <v>1</v>
      </c>
      <c r="F103" s="19">
        <v>1</v>
      </c>
      <c r="G103" s="19">
        <v>1</v>
      </c>
    </row>
    <row r="104" spans="1:13">
      <c r="A104" s="5" t="s">
        <v>107</v>
      </c>
      <c r="B104" s="18" t="s">
        <v>108</v>
      </c>
      <c r="C104" s="18" t="s">
        <v>108</v>
      </c>
      <c r="D104" s="18" t="s">
        <v>108</v>
      </c>
      <c r="E104" s="18" t="s">
        <v>108</v>
      </c>
      <c r="F104" s="18" t="s">
        <v>108</v>
      </c>
      <c r="G104" s="18" t="s">
        <v>108</v>
      </c>
    </row>
    <row r="105" spans="1:13">
      <c r="A105" s="20"/>
      <c r="B105" s="20"/>
      <c r="C105" s="20"/>
      <c r="D105" s="20"/>
      <c r="E105" s="20"/>
      <c r="F105" s="20"/>
      <c r="G105" s="20"/>
      <c r="H105" s="20"/>
      <c r="I105" s="20"/>
      <c r="J105" s="20"/>
      <c r="K105" s="20"/>
      <c r="L105" s="20"/>
      <c r="M105" s="20"/>
    </row>
    <row r="106" spans="1:13">
      <c r="A106" s="2" t="s">
        <v>109</v>
      </c>
    </row>
    <row r="107" spans="1:13">
      <c r="A107" s="25" t="s">
        <v>110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ACBC8-4EC0-4BB0-AF60-BF69066FEBE8}">
  <sheetPr>
    <tabColor rgb="FFFF0000"/>
  </sheetPr>
  <dimension ref="B2:O18"/>
  <sheetViews>
    <sheetView zoomScale="130" zoomScaleNormal="130" workbookViewId="0">
      <selection activeCell="I22" sqref="I22"/>
    </sheetView>
  </sheetViews>
  <sheetFormatPr baseColWidth="10" defaultColWidth="11.453125" defaultRowHeight="14.5"/>
  <cols>
    <col min="4" max="4" width="11.90625" bestFit="1" customWidth="1"/>
    <col min="5" max="5" width="11.08984375" customWidth="1"/>
    <col min="6" max="6" width="33.453125" bestFit="1" customWidth="1"/>
    <col min="8" max="8" width="11.90625" bestFit="1" customWidth="1"/>
  </cols>
  <sheetData>
    <row r="2" spans="2:15" ht="15" thickBot="1"/>
    <row r="3" spans="2:15" ht="19.5">
      <c r="B3" s="125"/>
      <c r="C3" s="88" t="s">
        <v>237</v>
      </c>
      <c r="D3" s="126"/>
      <c r="F3" s="179" t="s">
        <v>467</v>
      </c>
      <c r="G3" s="227"/>
    </row>
    <row r="4" spans="2:15" ht="15.5">
      <c r="B4" s="644" t="s">
        <v>21</v>
      </c>
      <c r="C4" s="645"/>
      <c r="D4" s="646"/>
      <c r="F4" s="458" t="s">
        <v>468</v>
      </c>
      <c r="G4" s="242">
        <f>'Balance sheet'!G81</f>
        <v>2424.3310000000001</v>
      </c>
    </row>
    <row r="5" spans="2:15" ht="15.5">
      <c r="B5" s="644" t="s">
        <v>112</v>
      </c>
      <c r="C5" s="645"/>
      <c r="D5" s="646"/>
      <c r="F5" s="458" t="s">
        <v>469</v>
      </c>
      <c r="G5" s="242">
        <f>'Key stats'!B50 * 'Balance sheet'!G77</f>
        <v>14319.645742499999</v>
      </c>
    </row>
    <row r="6" spans="2:15" ht="15.5">
      <c r="B6" s="644" t="s">
        <v>247</v>
      </c>
      <c r="C6" s="645"/>
      <c r="D6" s="646"/>
      <c r="F6" s="256" t="s">
        <v>470</v>
      </c>
      <c r="G6" s="257">
        <f>G5/(G5+G4)</f>
        <v>0.85521175541014105</v>
      </c>
    </row>
    <row r="7" spans="2:15" ht="15.5">
      <c r="B7" s="644" t="s">
        <v>246</v>
      </c>
      <c r="C7" s="645"/>
      <c r="D7" s="646"/>
      <c r="F7" s="258" t="s">
        <v>471</v>
      </c>
      <c r="G7" s="259">
        <f>G4/(G4+G5)</f>
        <v>0.14478824458985898</v>
      </c>
      <c r="O7" s="50"/>
    </row>
    <row r="8" spans="2:15" ht="15.5">
      <c r="B8" s="644" t="s">
        <v>252</v>
      </c>
      <c r="C8" s="645"/>
      <c r="D8" s="646"/>
      <c r="F8" s="132"/>
      <c r="G8" s="148"/>
    </row>
    <row r="9" spans="2:15" ht="15.5">
      <c r="B9" s="644" t="s">
        <v>249</v>
      </c>
      <c r="C9" s="645"/>
      <c r="D9" s="646"/>
      <c r="F9" s="458" t="s">
        <v>472</v>
      </c>
      <c r="G9" s="254">
        <v>1.6E-2</v>
      </c>
    </row>
    <row r="10" spans="2:15" ht="15.5">
      <c r="B10" s="644" t="s">
        <v>242</v>
      </c>
      <c r="C10" s="645"/>
      <c r="D10" s="646"/>
      <c r="F10" s="458" t="s">
        <v>473</v>
      </c>
      <c r="G10" s="255">
        <v>1.17</v>
      </c>
    </row>
    <row r="11" spans="2:15" ht="15.5">
      <c r="B11" s="644" t="s">
        <v>239</v>
      </c>
      <c r="C11" s="645"/>
      <c r="D11" s="646"/>
      <c r="F11" s="458" t="s">
        <v>474</v>
      </c>
      <c r="G11" s="254">
        <v>5.5E-2</v>
      </c>
    </row>
    <row r="12" spans="2:15" ht="15.5">
      <c r="B12" s="644" t="s">
        <v>251</v>
      </c>
      <c r="C12" s="645"/>
      <c r="D12" s="646"/>
      <c r="F12" s="260" t="s">
        <v>475</v>
      </c>
      <c r="G12" s="257">
        <f>G9+(G10*G11)</f>
        <v>8.0349999999999991E-2</v>
      </c>
    </row>
    <row r="13" spans="2:15" ht="15.5">
      <c r="B13" s="644" t="s">
        <v>254</v>
      </c>
      <c r="C13" s="645"/>
      <c r="D13" s="646"/>
      <c r="F13" s="458" t="s">
        <v>476</v>
      </c>
      <c r="G13" s="500">
        <f>'Forecasted IS'!L22/'Balance sheet'!G81*-1</f>
        <v>3.2091739948051645E-2</v>
      </c>
    </row>
    <row r="14" spans="2:15" ht="15.5">
      <c r="B14" s="644" t="s">
        <v>350</v>
      </c>
      <c r="C14" s="645"/>
      <c r="D14" s="646"/>
      <c r="F14" s="458"/>
      <c r="G14" s="148"/>
    </row>
    <row r="15" spans="2:15" ht="15.5">
      <c r="B15" s="644" t="s">
        <v>255</v>
      </c>
      <c r="C15" s="645"/>
      <c r="D15" s="646"/>
      <c r="F15" s="458" t="s">
        <v>477</v>
      </c>
      <c r="G15" s="501">
        <f>'Forecasted IS'!L28/'Forecasted IS'!L26*-1</f>
        <v>0.30314883930769138</v>
      </c>
      <c r="O15" s="50"/>
    </row>
    <row r="16" spans="2:15" ht="15.5">
      <c r="B16" s="644" t="s">
        <v>352</v>
      </c>
      <c r="C16" s="645"/>
      <c r="D16" s="646"/>
      <c r="F16" s="260" t="s">
        <v>478</v>
      </c>
      <c r="G16" s="261">
        <f>1-G15</f>
        <v>0.69685116069230868</v>
      </c>
    </row>
    <row r="17" spans="2:7" ht="16" thickBot="1">
      <c r="B17" s="638" t="s">
        <v>353</v>
      </c>
      <c r="C17" s="639"/>
      <c r="D17" s="640"/>
      <c r="F17" s="132"/>
      <c r="G17" s="148"/>
    </row>
    <row r="18" spans="2:7" ht="16" thickBot="1">
      <c r="F18" s="474" t="s">
        <v>479</v>
      </c>
      <c r="G18" s="502">
        <f>G6*G12+G7*G13*G16</f>
        <v>7.195418812932558E-2</v>
      </c>
    </row>
  </sheetData>
  <mergeCells count="14">
    <mergeCell ref="B16:D16"/>
    <mergeCell ref="B17:D17"/>
    <mergeCell ref="B15:D15"/>
    <mergeCell ref="B4:D4"/>
    <mergeCell ref="B5:D5"/>
    <mergeCell ref="B6:D6"/>
    <mergeCell ref="B7:D7"/>
    <mergeCell ref="B8:D8"/>
    <mergeCell ref="B9:D9"/>
    <mergeCell ref="B10:D10"/>
    <mergeCell ref="B11:D11"/>
    <mergeCell ref="B12:D12"/>
    <mergeCell ref="B13:D13"/>
    <mergeCell ref="B14:D14"/>
  </mergeCells>
  <hyperlinks>
    <hyperlink ref="G9" r:id="rId1" display="https://ycharts.com/indicators/10_year_treasury_rate" xr:uid="{3DB23A2F-F3A1-408A-BFE0-1A8591CCAB08}"/>
    <hyperlink ref="G10" r:id="rId2" display="https://finance.yahoo.com/quote/UMI.BR/?guccounter=1" xr:uid="{2870D509-D0B6-45B6-B6C4-04ADA7CA3C28}"/>
    <hyperlink ref="G11" r:id="rId3" display="https://evaluation-data.pwc.be/documentation/" xr:uid="{59B15E08-3E91-4C92-BE66-F4A67BECB38E}"/>
    <hyperlink ref="B10:D10" location="'Forecasted IS'!A1" display="Forecasted IS" xr:uid="{EE25E0E5-808D-4EF0-8DEF-F4DD01A66106}"/>
    <hyperlink ref="B5:D5" location="'Income Statement'!A1" display="Income Statement" xr:uid="{96851753-8C56-412C-8A9C-C193CA7233A1}"/>
    <hyperlink ref="B7:D7" location="'Market data'!A1" display="Market Data" xr:uid="{18D9958B-12EC-470C-B617-48DB89DAC0D6}"/>
    <hyperlink ref="B6:D6" location="'Key stats'!A1" display="Key Stat" xr:uid="{73AE977E-0C57-4784-B781-F3EE9EB3372A}"/>
    <hyperlink ref="B9:D9" location="'Cash Flow'!A1" display="Cash Flow" xr:uid="{484A07C7-166C-4948-9412-EEE5701C1DC4}"/>
    <hyperlink ref="B14:D14" location="FCF!A1" display="FCF" xr:uid="{AFA21017-18C7-464D-AF59-7947F8A92B38}"/>
    <hyperlink ref="B12:D12" location="WACC!A1" display="WACC" xr:uid="{6C432B53-880D-4B4D-BF07-D4A9299D5F64}"/>
    <hyperlink ref="B8:D8" location="Segments!A1" display="Segments" xr:uid="{55B61D53-13F8-4EB8-A100-E1AD07184647}"/>
    <hyperlink ref="B13:D13" location="TV!A1" display="TV" xr:uid="{C2180C03-51DF-47EC-B093-3ABA695CE705}"/>
    <hyperlink ref="B15:D15" location="'sensitivity analysis'!A1" display="Sensitivity analysis" xr:uid="{39C118BF-1C3E-47BB-8DFC-CA4C739C3B70}"/>
    <hyperlink ref="B16:D16" location="Comparables!A1" display="Comparables" xr:uid="{A3A7A81C-8895-4F43-8A47-386F4B1C7974}"/>
    <hyperlink ref="B17:D17" location="Project!A1" display="Project" xr:uid="{95439B30-724C-47DB-AFE0-443DFCFBA41C}"/>
    <hyperlink ref="B4:D4" location="'Balance sheet'!A1" display="Balance Sheet" xr:uid="{B421A4CD-52FB-454A-8FD5-F819FA976E99}"/>
    <hyperlink ref="B11:D11" location="'Forecasted BS'!A1" display="Forecasted BS" xr:uid="{84D8FD77-B078-465A-B4F7-3ADFF0DFC795}"/>
  </hyperlinks>
  <pageMargins left="0.7" right="0.7" top="0.75" bottom="0.75" header="0.3" footer="0.3"/>
  <pageSetup paperSize="9" orientation="portrait" horizontalDpi="4294967293" verticalDpi="0"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14700-D523-4477-8870-A775BD2628A5}">
  <sheetPr>
    <tabColor rgb="FFFF0000"/>
  </sheetPr>
  <dimension ref="B2:N35"/>
  <sheetViews>
    <sheetView zoomScale="40" zoomScaleNormal="70" workbookViewId="0">
      <selection activeCell="G27" sqref="G27"/>
    </sheetView>
  </sheetViews>
  <sheetFormatPr baseColWidth="10" defaultColWidth="11.453125" defaultRowHeight="14.5"/>
  <cols>
    <col min="6" max="6" width="32.453125" bestFit="1" customWidth="1"/>
    <col min="7" max="7" width="15.90625" customWidth="1"/>
    <col min="8" max="8" width="14" customWidth="1"/>
    <col min="9" max="10" width="13.453125" bestFit="1" customWidth="1"/>
    <col min="11" max="11" width="14.08984375" bestFit="1" customWidth="1"/>
    <col min="12" max="12" width="13.453125" customWidth="1"/>
    <col min="14" max="14" width="16.08984375" customWidth="1"/>
    <col min="18" max="19" width="10.453125" customWidth="1"/>
    <col min="21" max="21" width="12.453125" customWidth="1"/>
  </cols>
  <sheetData>
    <row r="2" spans="2:14" ht="15" thickBot="1"/>
    <row r="3" spans="2:14" ht="19.5">
      <c r="B3" s="125"/>
      <c r="C3" s="88" t="s">
        <v>237</v>
      </c>
      <c r="D3" s="126"/>
      <c r="F3" s="179" t="s">
        <v>480</v>
      </c>
      <c r="G3" s="181"/>
      <c r="H3" s="181"/>
      <c r="I3" s="181"/>
      <c r="J3" s="181"/>
      <c r="K3" s="227"/>
    </row>
    <row r="4" spans="2:14" ht="15.5">
      <c r="B4" s="644" t="s">
        <v>21</v>
      </c>
      <c r="C4" s="645"/>
      <c r="D4" s="646"/>
      <c r="F4" s="231"/>
      <c r="K4" s="148"/>
    </row>
    <row r="5" spans="2:14" ht="15.5">
      <c r="B5" s="644" t="s">
        <v>112</v>
      </c>
      <c r="C5" s="645"/>
      <c r="D5" s="646"/>
      <c r="F5" s="238" t="s">
        <v>481</v>
      </c>
      <c r="G5" s="239">
        <f>'Forecasted IS'!L30</f>
        <v>135.92499999999654</v>
      </c>
      <c r="K5" s="148"/>
    </row>
    <row r="6" spans="2:14" ht="15.5">
      <c r="B6" s="644" t="s">
        <v>247</v>
      </c>
      <c r="C6" s="645"/>
      <c r="D6" s="646"/>
      <c r="F6" s="238" t="s">
        <v>482</v>
      </c>
      <c r="G6" s="239">
        <f>'Cash Flow'!G58</f>
        <v>-60.1</v>
      </c>
      <c r="K6" s="148"/>
      <c r="M6" s="225"/>
      <c r="N6" s="225"/>
    </row>
    <row r="7" spans="2:14" ht="15.5">
      <c r="B7" s="644" t="s">
        <v>246</v>
      </c>
      <c r="C7" s="645"/>
      <c r="D7" s="646"/>
      <c r="F7" s="238" t="s">
        <v>483</v>
      </c>
      <c r="G7" s="240">
        <f>'Forecasted BS'!M31</f>
        <v>2965.8906086961238</v>
      </c>
      <c r="K7" s="148"/>
    </row>
    <row r="8" spans="2:14" ht="15.5">
      <c r="B8" s="644" t="s">
        <v>252</v>
      </c>
      <c r="C8" s="645"/>
      <c r="D8" s="646"/>
      <c r="F8" s="235" t="s">
        <v>484</v>
      </c>
      <c r="G8" s="236">
        <f>(G5+G6)/G7</f>
        <v>2.5565676555188602E-2</v>
      </c>
      <c r="H8" s="236"/>
      <c r="I8" s="236"/>
      <c r="J8" s="236"/>
      <c r="K8" s="237"/>
    </row>
    <row r="9" spans="2:14" ht="15.5">
      <c r="B9" s="644" t="s">
        <v>249</v>
      </c>
      <c r="C9" s="645"/>
      <c r="D9" s="646"/>
      <c r="F9" s="228" t="s">
        <v>485</v>
      </c>
      <c r="G9" s="229" t="s">
        <v>486</v>
      </c>
      <c r="H9" s="229"/>
      <c r="I9" s="229"/>
      <c r="J9" s="229"/>
      <c r="K9" s="230"/>
    </row>
    <row r="10" spans="2:14" ht="15.5">
      <c r="B10" s="644" t="s">
        <v>242</v>
      </c>
      <c r="C10" s="645"/>
      <c r="D10" s="646"/>
      <c r="F10" s="216" t="s">
        <v>487</v>
      </c>
      <c r="G10" s="241" t="s">
        <v>488</v>
      </c>
      <c r="H10" s="241" t="s">
        <v>489</v>
      </c>
      <c r="I10" s="241" t="s">
        <v>490</v>
      </c>
      <c r="J10" s="241" t="s">
        <v>491</v>
      </c>
      <c r="K10" s="242" t="s">
        <v>492</v>
      </c>
    </row>
    <row r="11" spans="2:14" ht="15.5">
      <c r="B11" s="644" t="s">
        <v>239</v>
      </c>
      <c r="C11" s="645"/>
      <c r="D11" s="646"/>
      <c r="F11" s="216"/>
      <c r="G11" s="243">
        <f>FCF!M30/(1+WACC!G18)</f>
        <v>142.76987190050804</v>
      </c>
      <c r="H11" s="243">
        <f>FCF!N30/((1+WACC!G18)^2)</f>
        <v>66.52016613230073</v>
      </c>
      <c r="I11" s="243">
        <f>FCF!O30/(1+WACC!G18)^3</f>
        <v>171.57853579398267</v>
      </c>
      <c r="J11" s="243">
        <f>FCF!P30/(1+WACC!G18)^4</f>
        <v>342.40917496718396</v>
      </c>
      <c r="K11" s="244">
        <f>FCF!Q30/(1+WACC!G18)^5</f>
        <v>611.30623260288326</v>
      </c>
    </row>
    <row r="12" spans="2:14" ht="15.5">
      <c r="B12" s="644" t="s">
        <v>251</v>
      </c>
      <c r="C12" s="645"/>
      <c r="D12" s="646"/>
      <c r="F12" s="235" t="s">
        <v>493</v>
      </c>
      <c r="G12" s="236"/>
      <c r="H12" s="236"/>
      <c r="I12" s="236"/>
      <c r="J12" s="236"/>
      <c r="K12" s="237">
        <f>SUM(G11:K11)</f>
        <v>1334.5839813968587</v>
      </c>
    </row>
    <row r="13" spans="2:14" ht="15.5">
      <c r="B13" s="644" t="s">
        <v>254</v>
      </c>
      <c r="C13" s="645"/>
      <c r="D13" s="646"/>
      <c r="F13" s="216" t="s">
        <v>494</v>
      </c>
      <c r="G13" s="245">
        <f>(FCF!Q30*(1+G8))/(WACC!G18-G8)</f>
        <v>19129.031851901738</v>
      </c>
      <c r="K13" s="148"/>
    </row>
    <row r="14" spans="2:14" ht="15.5">
      <c r="B14" s="644" t="s">
        <v>350</v>
      </c>
      <c r="C14" s="645"/>
      <c r="D14" s="646"/>
      <c r="F14" s="216" t="s">
        <v>495</v>
      </c>
      <c r="G14" s="246">
        <f>G13/(1+WACC!G18)^5</f>
        <v>13514.869711217783</v>
      </c>
      <c r="K14" s="148"/>
    </row>
    <row r="15" spans="2:14" ht="15.5">
      <c r="B15" s="644" t="s">
        <v>255</v>
      </c>
      <c r="C15" s="645"/>
      <c r="D15" s="646"/>
      <c r="F15" s="216"/>
      <c r="G15" s="241"/>
      <c r="K15" s="148"/>
    </row>
    <row r="16" spans="2:14" ht="15.5">
      <c r="B16" s="644" t="s">
        <v>352</v>
      </c>
      <c r="C16" s="645"/>
      <c r="D16" s="646"/>
      <c r="F16" s="216" t="s">
        <v>496</v>
      </c>
      <c r="G16" s="253">
        <f>K12+G14</f>
        <v>14849.453692614643</v>
      </c>
      <c r="K16" s="148"/>
    </row>
    <row r="17" spans="2:12" ht="16" thickBot="1">
      <c r="B17" s="638" t="s">
        <v>353</v>
      </c>
      <c r="C17" s="639"/>
      <c r="D17" s="640"/>
      <c r="F17" s="216"/>
      <c r="G17" s="241"/>
      <c r="K17" s="148"/>
    </row>
    <row r="18" spans="2:12" ht="15.5">
      <c r="F18" s="247" t="s">
        <v>497</v>
      </c>
      <c r="G18" s="248">
        <f>(G16 -'Balance sheet'!G81+'Forecasted BS'!L23)/'Balance sheet'!G76</f>
        <v>55.825966723322473</v>
      </c>
      <c r="H18" s="70"/>
      <c r="I18" s="70"/>
      <c r="J18" s="70"/>
      <c r="K18" s="206"/>
    </row>
    <row r="19" spans="2:12" ht="15.5">
      <c r="F19" s="232" t="s">
        <v>498</v>
      </c>
      <c r="G19" s="233" t="s">
        <v>499</v>
      </c>
      <c r="H19" s="233"/>
      <c r="I19" s="233"/>
      <c r="J19" s="233"/>
      <c r="K19" s="234"/>
    </row>
    <row r="20" spans="2:12" ht="15.5">
      <c r="F20" s="216" t="s">
        <v>500</v>
      </c>
      <c r="G20" s="241">
        <f>'Forecasted IS'!L30</f>
        <v>135.92499999999654</v>
      </c>
      <c r="H20" s="243"/>
      <c r="I20" s="241">
        <v>2019</v>
      </c>
      <c r="J20" s="241">
        <f>'Forecasted IS'!K30</f>
        <v>299.23200000000043</v>
      </c>
      <c r="K20" s="148"/>
    </row>
    <row r="21" spans="2:12" ht="15.5">
      <c r="F21" s="216" t="s">
        <v>501</v>
      </c>
      <c r="G21" s="249">
        <f>'Income Statement'!G63</f>
        <v>0</v>
      </c>
      <c r="H21" s="241"/>
      <c r="J21" s="249">
        <f>'Income Statement'!F63</f>
        <v>0</v>
      </c>
      <c r="K21" s="148"/>
    </row>
    <row r="22" spans="2:12" ht="15.5">
      <c r="F22" s="216" t="s">
        <v>502</v>
      </c>
      <c r="G22" s="241">
        <f>'Income Statement'!G71</f>
        <v>240.58955</v>
      </c>
      <c r="H22" s="241"/>
      <c r="J22" s="241">
        <f>'Income Statement'!F71</f>
        <v>240.55865900000001</v>
      </c>
      <c r="K22" s="148"/>
    </row>
    <row r="23" spans="2:12" ht="15.5">
      <c r="F23" s="138" t="s">
        <v>469</v>
      </c>
      <c r="G23" s="636">
        <f>(G20-G21)/G22</f>
        <v>0.56496635036723974</v>
      </c>
      <c r="H23" s="236"/>
      <c r="I23" s="236"/>
      <c r="J23" s="236">
        <f>(J20-J21)/J22</f>
        <v>1.2439045064680063</v>
      </c>
      <c r="K23" s="237"/>
    </row>
    <row r="24" spans="2:12" ht="15.5">
      <c r="F24" s="250" t="s">
        <v>497</v>
      </c>
      <c r="G24" s="393">
        <f>'Key stats'!B50</f>
        <v>59.5</v>
      </c>
      <c r="J24" s="394">
        <v>47.8</v>
      </c>
      <c r="K24" s="148"/>
    </row>
    <row r="25" spans="2:12" ht="15.5">
      <c r="F25" s="235" t="s">
        <v>503</v>
      </c>
      <c r="G25" s="636">
        <f>G24/G23</f>
        <v>105.31600680522615</v>
      </c>
      <c r="H25" s="236"/>
      <c r="I25" s="236"/>
      <c r="J25" s="236">
        <f>J24/J23</f>
        <v>38.427387111672495</v>
      </c>
      <c r="K25" s="237"/>
    </row>
    <row r="26" spans="2:12">
      <c r="F26" s="210"/>
      <c r="K26" s="148"/>
    </row>
    <row r="27" spans="2:12" ht="15.5">
      <c r="F27" s="210" t="s">
        <v>504</v>
      </c>
      <c r="G27" s="637">
        <f>G25*'Forecasted IS'!Q30</f>
        <v>34371.508344150367</v>
      </c>
      <c r="J27" s="393">
        <f>J25*'Forecasted IS'!Q30</f>
        <v>12541.372359431352</v>
      </c>
      <c r="K27" s="148"/>
    </row>
    <row r="28" spans="2:12" ht="15.5">
      <c r="F28" s="210" t="s">
        <v>495</v>
      </c>
      <c r="G28" s="393">
        <f>G27/(1+WACC!G18)^5</f>
        <v>24283.84565646722</v>
      </c>
      <c r="J28" s="393">
        <f>J27/(1+WACC!G18)^5</f>
        <v>8860.6164049401232</v>
      </c>
      <c r="K28" s="148"/>
    </row>
    <row r="29" spans="2:12" ht="15.5">
      <c r="F29" s="210"/>
      <c r="G29" s="393"/>
      <c r="J29" s="393"/>
      <c r="K29" s="148"/>
    </row>
    <row r="30" spans="2:12" ht="15.5">
      <c r="F30" s="210"/>
      <c r="G30" s="393"/>
      <c r="J30" s="393"/>
      <c r="K30" s="148"/>
    </row>
    <row r="31" spans="2:12" ht="15.5">
      <c r="F31" s="210" t="s">
        <v>496</v>
      </c>
      <c r="G31" s="393">
        <f>G28+K12</f>
        <v>25618.429637864079</v>
      </c>
      <c r="J31" s="393">
        <f>J28+K12</f>
        <v>10195.200386336983</v>
      </c>
      <c r="K31" s="148"/>
      <c r="L31" s="132"/>
    </row>
    <row r="32" spans="2:12" ht="15.5">
      <c r="F32" s="210" t="s">
        <v>497</v>
      </c>
      <c r="G32" s="393">
        <f>(G31 -'Balance sheet'!G81+'Forecasted BS'!L23)/'Balance sheet'!G76</f>
        <v>100.57246955339006</v>
      </c>
      <c r="J32" s="393">
        <f>(J31 -'Balance sheet'!F81+'Forecasted BS'!K23)/'Balance sheet'!F76</f>
        <v>36.348300403288547</v>
      </c>
      <c r="K32" s="148"/>
    </row>
    <row r="33" spans="6:11">
      <c r="F33" s="210"/>
      <c r="K33" s="148"/>
    </row>
    <row r="34" spans="6:11">
      <c r="F34" s="210"/>
      <c r="K34" s="148"/>
    </row>
    <row r="35" spans="6:11" ht="16" thickBot="1">
      <c r="F35" s="251" t="s">
        <v>505</v>
      </c>
      <c r="G35" s="252">
        <f>G24*G22</f>
        <v>14315.078224999999</v>
      </c>
      <c r="H35" s="204"/>
      <c r="I35" s="204"/>
      <c r="J35" s="252">
        <f>J24*J22</f>
        <v>11498.7039002</v>
      </c>
      <c r="K35" s="205"/>
    </row>
  </sheetData>
  <mergeCells count="14">
    <mergeCell ref="B16:D16"/>
    <mergeCell ref="B17:D17"/>
    <mergeCell ref="B15:D15"/>
    <mergeCell ref="B4:D4"/>
    <mergeCell ref="B5:D5"/>
    <mergeCell ref="B6:D6"/>
    <mergeCell ref="B7:D7"/>
    <mergeCell ref="B8:D8"/>
    <mergeCell ref="B9:D9"/>
    <mergeCell ref="B10:D10"/>
    <mergeCell ref="B11:D11"/>
    <mergeCell ref="B12:D12"/>
    <mergeCell ref="B13:D13"/>
    <mergeCell ref="B14:D14"/>
  </mergeCells>
  <hyperlinks>
    <hyperlink ref="J24" r:id="rId1" display="http://sigma-investments.com/wp-content/uploads/2020/09/Umicore_Pitch.pdf?fbclid=IwAR2bw7g9RmKi8q4l-IwQ9tYsDqeLQf0VcKTnDu5PC8yqC6TPnBjbyWRsFy4" xr:uid="{D2BF54FE-651F-4328-BB9A-D213E133493A}"/>
    <hyperlink ref="B10:D10" location="'Forecasted IS'!A1" display="Forecasted IS" xr:uid="{3AD82D79-9941-4929-8608-3658BA4F8934}"/>
    <hyperlink ref="B5:D5" location="'Income Statement'!A1" display="Income Statement" xr:uid="{EDEF11A5-832E-4817-B5AC-3319B14489B1}"/>
    <hyperlink ref="B7:D7" location="'Market data'!A1" display="Market Data" xr:uid="{FF77C83D-F58E-4B79-8734-FF8AFB6BF1B1}"/>
    <hyperlink ref="B6:D6" location="'Key stats'!A1" display="Key Stat" xr:uid="{F96C87F5-922F-4191-999B-E0CF545FC464}"/>
    <hyperlink ref="B9:D9" location="'Cash Flow'!A1" display="Cash Flow" xr:uid="{2BC48493-1CE9-45B0-B0DC-8C68B28106C8}"/>
    <hyperlink ref="B14:D14" location="FCF!A1" display="FCF" xr:uid="{DE4C1E90-97E0-4545-AF93-C9D8338DBAD8}"/>
    <hyperlink ref="B12:D12" location="WACC!A1" display="WACC" xr:uid="{3F53AE8D-3F6E-4623-A8EC-9ED3E303703C}"/>
    <hyperlink ref="B8:D8" location="Segments!A1" display="Segments" xr:uid="{8599FB6A-64D1-4404-A4CE-0564A843BE01}"/>
    <hyperlink ref="B13:D13" location="TV!A1" display="TV" xr:uid="{FDABBF42-C04A-498A-8F9B-2B4E4199B6FE}"/>
    <hyperlink ref="B15:D15" location="'sensitivity analysis'!A1" display="Sensitivity analysis" xr:uid="{5E3D0E7C-C014-4F1A-923A-C3E53F890B1B}"/>
    <hyperlink ref="B16:D16" location="Comparables!A1" display="Comparables" xr:uid="{5584EA6D-F913-4A35-8FF7-4C4851C7250B}"/>
    <hyperlink ref="B17:D17" location="Project!A1" display="Project" xr:uid="{D6060792-7DFB-4ECC-A74D-9152FFC7817A}"/>
    <hyperlink ref="B4:D4" location="'Balance sheet'!A1" display="Balance Sheet" xr:uid="{287DA7F6-FDBB-4EEF-9423-D69324756B51}"/>
    <hyperlink ref="B11:D11" location="'Forecasted BS'!A1" display="Forecasted BS" xr:uid="{190C8EA4-3FBD-40B3-B6E4-1F34D9C49407}"/>
  </hyperlinks>
  <pageMargins left="0.7" right="0.7" top="0.75" bottom="0.75" header="0.3" footer="0.3"/>
  <pageSetup paperSize="9" orientation="portrait" horizontalDpi="4294967293"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BCA51-9BF1-4D0F-A56E-B2AB2D08A50A}">
  <sheetPr>
    <tabColor rgb="FFFF0000"/>
  </sheetPr>
  <dimension ref="B2:AC40"/>
  <sheetViews>
    <sheetView zoomScale="37" zoomScaleNormal="80" workbookViewId="0">
      <selection activeCell="AB13" sqref="AB13"/>
    </sheetView>
  </sheetViews>
  <sheetFormatPr baseColWidth="10" defaultColWidth="8.90625" defaultRowHeight="14.5"/>
  <cols>
    <col min="3" max="3" width="15" customWidth="1"/>
    <col min="6" max="6" width="15.90625" customWidth="1"/>
    <col min="7" max="7" width="12" customWidth="1"/>
    <col min="8" max="8" width="15.54296875" customWidth="1"/>
    <col min="9" max="9" width="12.453125" customWidth="1"/>
    <col min="10" max="10" width="15.90625" customWidth="1"/>
    <col min="11" max="11" width="12.90625" customWidth="1"/>
    <col min="12" max="12" width="14.08984375" customWidth="1"/>
    <col min="13" max="13" width="16.90625" customWidth="1"/>
    <col min="14" max="14" width="16.08984375" customWidth="1"/>
    <col min="15" max="15" width="12.08984375" customWidth="1"/>
    <col min="16" max="16" width="10.90625" customWidth="1"/>
    <col min="17" max="17" width="10.453125" customWidth="1"/>
    <col min="18" max="18" width="10.54296875" customWidth="1"/>
    <col min="19" max="19" width="10.08984375" customWidth="1"/>
    <col min="20" max="20" width="11.36328125" customWidth="1"/>
    <col min="21" max="21" width="10.90625" customWidth="1"/>
    <col min="22" max="22" width="13.453125" customWidth="1"/>
    <col min="23" max="23" width="14.6328125" customWidth="1"/>
    <col min="24" max="24" width="8.54296875" customWidth="1"/>
    <col min="25" max="25" width="9.90625" customWidth="1"/>
    <col min="26" max="26" width="8.453125" customWidth="1"/>
    <col min="27" max="27" width="9.6328125" customWidth="1"/>
    <col min="28" max="28" width="9.453125" customWidth="1"/>
    <col min="29" max="29" width="9.6328125" customWidth="1"/>
  </cols>
  <sheetData>
    <row r="2" spans="2:29" ht="24.9" customHeight="1" thickBot="1"/>
    <row r="3" spans="2:29" ht="27.65" customHeight="1">
      <c r="B3" s="125"/>
      <c r="C3" s="88" t="s">
        <v>237</v>
      </c>
      <c r="D3" s="126"/>
      <c r="F3" s="125" t="s">
        <v>255</v>
      </c>
      <c r="G3" s="88"/>
      <c r="H3" s="88"/>
      <c r="I3" s="88"/>
      <c r="J3" s="88"/>
      <c r="K3" s="88"/>
      <c r="L3" s="88"/>
      <c r="M3" s="88"/>
      <c r="N3" s="88"/>
      <c r="O3" s="88"/>
      <c r="P3" s="88"/>
      <c r="Q3" s="88"/>
      <c r="R3" s="88"/>
      <c r="S3" s="88"/>
      <c r="T3" s="88"/>
      <c r="U3" s="88"/>
      <c r="V3" s="88"/>
      <c r="W3" s="88"/>
      <c r="X3" s="88"/>
      <c r="Y3" s="88"/>
      <c r="Z3" s="88"/>
      <c r="AA3" s="88"/>
      <c r="AB3" s="88"/>
      <c r="AC3" s="126"/>
    </row>
    <row r="4" spans="2:29" ht="24.65" customHeight="1" thickBot="1">
      <c r="B4" s="644" t="s">
        <v>21</v>
      </c>
      <c r="C4" s="645"/>
      <c r="D4" s="646"/>
      <c r="F4" s="93" t="s">
        <v>506</v>
      </c>
      <c r="G4" s="74"/>
      <c r="H4" s="74"/>
      <c r="I4" s="74"/>
      <c r="J4" s="74"/>
      <c r="K4" s="74"/>
      <c r="L4" s="74"/>
      <c r="M4" s="312"/>
      <c r="O4" s="627" t="s">
        <v>507</v>
      </c>
      <c r="P4" s="628"/>
      <c r="Q4" s="628"/>
      <c r="R4" s="628"/>
      <c r="S4" s="628"/>
      <c r="T4" s="628"/>
      <c r="U4" s="629"/>
      <c r="W4" s="314" t="s">
        <v>508</v>
      </c>
      <c r="X4" s="74"/>
      <c r="Y4" s="74"/>
      <c r="Z4" s="74"/>
      <c r="AA4" s="74"/>
      <c r="AB4" s="74"/>
      <c r="AC4" s="187"/>
    </row>
    <row r="5" spans="2:29" ht="18.649999999999999" customHeight="1">
      <c r="B5" s="644" t="s">
        <v>112</v>
      </c>
      <c r="C5" s="645"/>
      <c r="D5" s="646"/>
      <c r="F5" s="200"/>
      <c r="G5" s="310" t="s">
        <v>509</v>
      </c>
      <c r="H5" s="192"/>
      <c r="I5" s="192"/>
      <c r="J5" s="192"/>
      <c r="K5" s="192"/>
      <c r="L5" s="192"/>
      <c r="M5" s="196"/>
      <c r="O5" s="633"/>
      <c r="P5" s="630"/>
      <c r="Q5" s="631" t="s">
        <v>510</v>
      </c>
      <c r="R5" s="631"/>
      <c r="S5" s="631"/>
      <c r="T5" s="631"/>
      <c r="U5" s="632"/>
      <c r="W5" s="316"/>
      <c r="X5" s="195"/>
      <c r="Y5" s="190" t="s">
        <v>510</v>
      </c>
      <c r="Z5" s="190"/>
      <c r="AA5" s="190"/>
      <c r="AB5" s="190"/>
      <c r="AC5" s="199"/>
    </row>
    <row r="6" spans="2:29" ht="15.65" customHeight="1">
      <c r="B6" s="644" t="s">
        <v>247</v>
      </c>
      <c r="C6" s="645"/>
      <c r="D6" s="646"/>
      <c r="F6" s="200" t="s">
        <v>251</v>
      </c>
      <c r="G6" s="318"/>
      <c r="H6" s="191" t="s">
        <v>488</v>
      </c>
      <c r="I6" s="191" t="s">
        <v>489</v>
      </c>
      <c r="J6" s="191" t="s">
        <v>490</v>
      </c>
      <c r="K6" s="191" t="s">
        <v>491</v>
      </c>
      <c r="L6" s="191" t="s">
        <v>492</v>
      </c>
      <c r="M6" s="311" t="s">
        <v>511</v>
      </c>
      <c r="O6" s="634" t="s">
        <v>251</v>
      </c>
      <c r="P6" s="193"/>
      <c r="Q6" s="191">
        <f>'TV and stock price'!G8-1%</f>
        <v>1.5565676555188602E-2</v>
      </c>
      <c r="R6" s="191">
        <f>'TV and stock price'!G8-0.5%</f>
        <v>2.0565676555188601E-2</v>
      </c>
      <c r="S6" s="191">
        <f>'TV and stock price'!G8</f>
        <v>2.5565676555188602E-2</v>
      </c>
      <c r="T6" s="191">
        <f>'TV and stock price'!G8+0.5%</f>
        <v>3.0565676555188603E-2</v>
      </c>
      <c r="U6" s="311">
        <f>'TV and stock price'!G8+1%</f>
        <v>3.5565676555188601E-2</v>
      </c>
      <c r="W6" s="315"/>
      <c r="X6" s="197"/>
      <c r="Y6" s="198">
        <f>'TV and stock price'!G8-1%</f>
        <v>1.5565676555188602E-2</v>
      </c>
      <c r="Z6" s="209">
        <f>'TV and stock price'!G8-0.5%</f>
        <v>2.0565676555188601E-2</v>
      </c>
      <c r="AA6" s="191">
        <f>'TV and stock price'!G8</f>
        <v>2.5565676555188602E-2</v>
      </c>
      <c r="AB6" s="191">
        <f>'TV and stock price'!G8+0.5%</f>
        <v>3.0565676555188603E-2</v>
      </c>
      <c r="AC6" s="201">
        <f>'TV and stock price'!G8+1%</f>
        <v>3.5565676555188601E-2</v>
      </c>
    </row>
    <row r="7" spans="2:29" ht="19.5" customHeight="1">
      <c r="B7" s="644" t="s">
        <v>246</v>
      </c>
      <c r="C7" s="645"/>
      <c r="D7" s="646"/>
      <c r="F7" s="200"/>
      <c r="G7" s="194">
        <v>6.1954188129325578E-2</v>
      </c>
      <c r="H7" s="169">
        <f>FCF!M30/(1+$P7)</f>
        <v>144.11427897094865</v>
      </c>
      <c r="I7" s="169">
        <f>FCF!$N$30/(1+$P7)^2</f>
        <v>67.778852502131542</v>
      </c>
      <c r="J7" s="169">
        <f>FCF!$O$30/(1+$P7)^3</f>
        <v>176.47138228258515</v>
      </c>
      <c r="K7" s="169">
        <f>FCF!$P$30/(1+$P7)^4</f>
        <v>355.48981851973929</v>
      </c>
      <c r="L7" s="169">
        <f>FCF!$Q$30/(1+$P7)^5</f>
        <v>640.63555857578717</v>
      </c>
      <c r="M7" s="53">
        <f>SUM(H7:L7)</f>
        <v>1384.4898908511918</v>
      </c>
      <c r="O7" s="634"/>
      <c r="P7" s="194">
        <f>WACC!G18-1%</f>
        <v>6.1954188129325578E-2</v>
      </c>
      <c r="Q7">
        <f t="shared" ref="Q7:U11" si="0">$M7+Y7</f>
        <v>15409.675489456691</v>
      </c>
      <c r="R7">
        <f t="shared" si="0"/>
        <v>17181.40157954708</v>
      </c>
      <c r="S7">
        <f t="shared" si="0"/>
        <v>19440.019277303454</v>
      </c>
      <c r="T7">
        <f t="shared" si="0"/>
        <v>22418.205245260116</v>
      </c>
      <c r="U7" s="52">
        <f t="shared" si="0"/>
        <v>26524.983085323569</v>
      </c>
      <c r="W7" s="315" t="s">
        <v>251</v>
      </c>
      <c r="X7" s="194">
        <f>WACC!G18-1%</f>
        <v>6.1954188129325578E-2</v>
      </c>
      <c r="Y7">
        <f>(FCF!$Q$30 * (1+Y$6))/(($X7-Y$6)*(1+$X7)^5)</f>
        <v>14025.1855986055</v>
      </c>
      <c r="Z7">
        <f>(FCF!$Q$30 * (1+Z$6))/(($X7-Z$6)*(1+$X7)^5)</f>
        <v>15796.911688695889</v>
      </c>
      <c r="AA7">
        <f>(FCF!$Q$30 * (1+AA$6))/(($X7-AA$6)*(1+$X7)^5)</f>
        <v>18055.529386452261</v>
      </c>
      <c r="AB7">
        <f>(FCF!$Q$30 * (1+AB$6))/(($X7-AB$6)*(1+$X7)^5)</f>
        <v>21033.715354408923</v>
      </c>
      <c r="AC7" s="148">
        <f>(FCF!$Q$30 * (1+AC$6))/(($X7-AC$6)*(1+$X7)^5)</f>
        <v>25140.493194472376</v>
      </c>
    </row>
    <row r="8" spans="2:29" ht="18.899999999999999" customHeight="1">
      <c r="B8" s="644" t="s">
        <v>252</v>
      </c>
      <c r="C8" s="645"/>
      <c r="D8" s="646"/>
      <c r="F8" s="200"/>
      <c r="G8" s="194">
        <v>6.6954188129325576E-2</v>
      </c>
      <c r="H8">
        <f>FCF!M30/(1+$P8)</f>
        <v>143.43892533077209</v>
      </c>
      <c r="I8">
        <f>FCF!$N$30/(1+$P8)^2</f>
        <v>67.145085472793227</v>
      </c>
      <c r="J8">
        <f>FCF!$O$30/(1+$P8)^3</f>
        <v>174.00203042053403</v>
      </c>
      <c r="K8">
        <f>FCF!$P$30/(1+$P8)^4</f>
        <v>348.87287552569001</v>
      </c>
      <c r="L8">
        <f>FCF!$Q$30/(1+$P8)^5</f>
        <v>625.7647399023241</v>
      </c>
      <c r="M8" s="52">
        <f>SUM(H8:L8)</f>
        <v>1359.2236566521133</v>
      </c>
      <c r="O8" s="634"/>
      <c r="P8" s="194">
        <f>WACC!G18-0.5%</f>
        <v>6.6954188129325576E-2</v>
      </c>
      <c r="Q8">
        <f t="shared" si="0"/>
        <v>13725.901966189396</v>
      </c>
      <c r="R8">
        <f t="shared" si="0"/>
        <v>15126.296439794723</v>
      </c>
      <c r="S8">
        <f t="shared" si="0"/>
        <v>16865.044340557452</v>
      </c>
      <c r="T8">
        <f t="shared" si="0"/>
        <v>19081.621046496854</v>
      </c>
      <c r="U8" s="52">
        <f t="shared" si="0"/>
        <v>22004.372271321623</v>
      </c>
      <c r="W8" s="315"/>
      <c r="X8" s="194">
        <f>WACC!G18-0.5%</f>
        <v>6.6954188129325576E-2</v>
      </c>
      <c r="Y8">
        <f>(FCF!$Q$30 * (1+Y$6))/(($X8-Y$6)*(1+$X8)^5)</f>
        <v>12366.678309537283</v>
      </c>
      <c r="Z8">
        <f>(FCF!$Q$30 * (1+Z$6))/(($X8-Z$6)*(1+$X8)^5)</f>
        <v>13767.07278314261</v>
      </c>
      <c r="AA8">
        <f>(FCF!$Q$30 * (1+AA$6))/(($X8-AA$6)*(1+$X8)^5)</f>
        <v>15505.820683905338</v>
      </c>
      <c r="AB8">
        <f>(FCF!$Q$30 * (1+AB$6))/(($X8-AB$6)*(1+$X8)^5)</f>
        <v>17722.39738984474</v>
      </c>
      <c r="AC8" s="148">
        <f>(FCF!$Q$30 * (1+AC$6))/(($X8-AC$6)*(1+$X8)^5)</f>
        <v>20645.14861466951</v>
      </c>
    </row>
    <row r="9" spans="2:29" ht="20.399999999999999" customHeight="1">
      <c r="B9" s="644" t="s">
        <v>249</v>
      </c>
      <c r="C9" s="645"/>
      <c r="D9" s="646"/>
      <c r="F9" s="200"/>
      <c r="G9" s="194">
        <v>7.195418812932558E-2</v>
      </c>
      <c r="H9">
        <f>FCF!M30/(1+$P9)</f>
        <v>142.76987190050804</v>
      </c>
      <c r="I9">
        <f>FCF!$N$30/(1+$P9)^2</f>
        <v>66.52016613230073</v>
      </c>
      <c r="J9">
        <f>FCF!$O$30/(1+$P9)^3</f>
        <v>171.57853579398267</v>
      </c>
      <c r="K9">
        <f>FCF!$P$30/(1+$P9)^4</f>
        <v>342.40917496718396</v>
      </c>
      <c r="L9">
        <f>FCF!$Q$30/(1+$P9)^5</f>
        <v>611.30623260288326</v>
      </c>
      <c r="M9" s="52">
        <f>SUM(H9:L9)</f>
        <v>1334.5839813968587</v>
      </c>
      <c r="O9" s="634"/>
      <c r="P9" s="194">
        <f>WACC!G18</f>
        <v>7.195418812932558E-2</v>
      </c>
      <c r="Q9">
        <f t="shared" si="0"/>
        <v>12344.302279769097</v>
      </c>
      <c r="R9">
        <f t="shared" si="0"/>
        <v>13475.004860462621</v>
      </c>
      <c r="S9">
        <f t="shared" si="0"/>
        <v>14849.453692614643</v>
      </c>
      <c r="T9">
        <f t="shared" si="0"/>
        <v>16555.987149189568</v>
      </c>
      <c r="U9" s="52">
        <f t="shared" si="0"/>
        <v>18731.496494788724</v>
      </c>
      <c r="W9" s="315"/>
      <c r="X9" s="194">
        <f>WACC!G18</f>
        <v>7.195418812932558E-2</v>
      </c>
      <c r="Y9">
        <f>(FCF!$Q$30 * (1+Y$6))/(($X9-Y$6)*(1+$X9)^5)</f>
        <v>11009.718298372238</v>
      </c>
      <c r="Z9">
        <f>(FCF!$Q$30 * (1+Z$6))/(($X9-Z$6)*(1+$X9)^5)</f>
        <v>12140.420879065761</v>
      </c>
      <c r="AA9">
        <f>(FCF!$Q$30 * (1+AA$6))/(($X9-AA$6)*(1+$X9)^5)</f>
        <v>13514.869711217783</v>
      </c>
      <c r="AB9">
        <f>(FCF!$Q$30 * (1+AB$6))/(($X9-AB$6)*(1+$X9)^5)</f>
        <v>15221.403167792709</v>
      </c>
      <c r="AC9" s="148">
        <f>(FCF!$Q$30 * (1+AC$6))/(($X9-AC$6)*(1+$X9)^5)</f>
        <v>17396.912513391864</v>
      </c>
    </row>
    <row r="10" spans="2:29" ht="18.899999999999999" customHeight="1">
      <c r="B10" s="644" t="s">
        <v>242</v>
      </c>
      <c r="C10" s="645"/>
      <c r="D10" s="646"/>
      <c r="F10" s="200"/>
      <c r="G10" s="194">
        <v>7.6954188129325585E-2</v>
      </c>
      <c r="H10">
        <f>FCF!M30/(1+$P10)</f>
        <v>142.10703092976766</v>
      </c>
      <c r="I10">
        <f>FCF!$N$30/(1+$P10)^2</f>
        <v>65.903930553196815</v>
      </c>
      <c r="J10">
        <f>FCF!$O$30/(1+$P10)^3</f>
        <v>169.19983883300563</v>
      </c>
      <c r="K10">
        <f>FCF!$P$30/(1+$P10)^4</f>
        <v>336.09447775353533</v>
      </c>
      <c r="L10">
        <f>FCF!$Q$30/(1+$P10)^5</f>
        <v>597.2467609840927</v>
      </c>
      <c r="M10" s="52">
        <f>SUM(H10:L10)</f>
        <v>1310.552039053598</v>
      </c>
      <c r="O10" s="634"/>
      <c r="P10" s="194">
        <f>WACC!G18+0.5%</f>
        <v>7.6954188129325585E-2</v>
      </c>
      <c r="Q10">
        <f t="shared" si="0"/>
        <v>11190.956292815343</v>
      </c>
      <c r="R10">
        <f t="shared" si="0"/>
        <v>12120.015308761376</v>
      </c>
      <c r="S10">
        <f t="shared" si="0"/>
        <v>13229.865514700468</v>
      </c>
      <c r="T10">
        <f t="shared" si="0"/>
        <v>14578.966812834091</v>
      </c>
      <c r="U10" s="52">
        <f t="shared" si="0"/>
        <v>16254.02844315242</v>
      </c>
      <c r="W10" s="315"/>
      <c r="X10" s="194">
        <f>WACC!G18+0.5%</f>
        <v>7.6954188129325585E-2</v>
      </c>
      <c r="Y10">
        <f>(FCF!$Q$30 * (1+Y$6))/(($X10-Y$6)*(1+$X10)^5)</f>
        <v>9880.4042537617443</v>
      </c>
      <c r="Z10">
        <f>(FCF!$Q$30 * (1+Z$6))/(($X10-Z$6)*(1+$X10)^5)</f>
        <v>10809.463269707778</v>
      </c>
      <c r="AA10">
        <f>(FCF!$Q$30 * (1+AA$6))/(($X10-AA$6)*(1+$X10)^5)</f>
        <v>11919.31347564687</v>
      </c>
      <c r="AB10">
        <f>(FCF!$Q$30 * (1+AB$6))/(($X10-AB$6)*(1+$X10)^5)</f>
        <v>13268.414773780492</v>
      </c>
      <c r="AC10" s="148">
        <f>(FCF!$Q$30 * (1+AC$6))/(($X10-AC$6)*(1+$X10)^5)</f>
        <v>14943.476404098821</v>
      </c>
    </row>
    <row r="11" spans="2:29" ht="21.65" customHeight="1" thickBot="1">
      <c r="B11" s="644" t="s">
        <v>239</v>
      </c>
      <c r="C11" s="645"/>
      <c r="D11" s="646"/>
      <c r="F11" s="202"/>
      <c r="G11" s="203">
        <v>8.1954188129325575E-2</v>
      </c>
      <c r="H11" s="204">
        <f>FCF!M30/(1+$P11)</f>
        <v>141.45031629023441</v>
      </c>
      <c r="I11" s="204">
        <f>FCF!$N$30/(1+$P11)^2</f>
        <v>65.296218587015119</v>
      </c>
      <c r="J11" s="204">
        <f>FCF!$O$30/(1+$P11)^3</f>
        <v>166.86490921113881</v>
      </c>
      <c r="K11" s="204">
        <f>FCF!$P$30/(1+$P11)^4</f>
        <v>329.92468097401422</v>
      </c>
      <c r="L11" s="204">
        <f>FCF!$Q$30/(1+$P11)^5</f>
        <v>583.57353563096183</v>
      </c>
      <c r="M11" s="313">
        <f>SUM(H11:L11)</f>
        <v>1287.1096606933643</v>
      </c>
      <c r="N11" s="204"/>
      <c r="O11" s="635"/>
      <c r="P11" s="203">
        <f>WACC!G18+1%</f>
        <v>8.1954188129325575E-2</v>
      </c>
      <c r="Q11" s="204">
        <f t="shared" si="0"/>
        <v>10214.215246890046</v>
      </c>
      <c r="R11" s="204">
        <f t="shared" si="0"/>
        <v>10988.845456839177</v>
      </c>
      <c r="S11" s="204">
        <f t="shared" si="0"/>
        <v>11900.849431110964</v>
      </c>
      <c r="T11" s="204">
        <f t="shared" si="0"/>
        <v>12990.325752087345</v>
      </c>
      <c r="U11" s="313">
        <f t="shared" si="0"/>
        <v>14314.661154333275</v>
      </c>
      <c r="V11" s="204"/>
      <c r="W11" s="317"/>
      <c r="X11" s="203">
        <f>WACC!G18+1%</f>
        <v>8.1954188129325575E-2</v>
      </c>
      <c r="Y11" s="204">
        <f>(FCF!$Q$30 * (1+Y$6))/(($X11-Y$6)*(1+$X11)^5)</f>
        <v>8927.1055861966815</v>
      </c>
      <c r="Z11" s="204">
        <f>(FCF!$Q$30 * (1+Z$6))/(($X11-Z$6)*(1+$X11)^5)</f>
        <v>9701.7357961458129</v>
      </c>
      <c r="AA11" s="204">
        <f>(FCF!$Q$30 * (1+AA$6))/(($X11-AA$6)*(1+$X11)^5)</f>
        <v>10613.7397704176</v>
      </c>
      <c r="AB11" s="204">
        <f>(FCF!$Q$30 * (1+AB$6))/(($X11-AB$6)*(1+$X11)^5)</f>
        <v>11703.216091393981</v>
      </c>
      <c r="AC11" s="205">
        <f>(FCF!$Q$30 * (1+AC$6))/(($X11-AC$6)*(1+$X11)^5)</f>
        <v>13027.55149363991</v>
      </c>
    </row>
    <row r="12" spans="2:29" ht="31.5" customHeight="1">
      <c r="B12" s="644" t="s">
        <v>251</v>
      </c>
      <c r="C12" s="645"/>
      <c r="D12" s="646"/>
    </row>
    <row r="13" spans="2:29" ht="15.5">
      <c r="B13" s="644" t="s">
        <v>254</v>
      </c>
      <c r="C13" s="645"/>
      <c r="D13" s="646"/>
    </row>
    <row r="14" spans="2:29" ht="15.5">
      <c r="B14" s="644" t="s">
        <v>350</v>
      </c>
      <c r="C14" s="645"/>
      <c r="D14" s="646"/>
    </row>
    <row r="15" spans="2:29" ht="15.5">
      <c r="B15" s="644" t="s">
        <v>255</v>
      </c>
      <c r="C15" s="645"/>
      <c r="D15" s="646"/>
    </row>
    <row r="16" spans="2:29" ht="14.4" customHeight="1">
      <c r="B16" s="644" t="s">
        <v>352</v>
      </c>
      <c r="C16" s="645"/>
      <c r="D16" s="646"/>
    </row>
    <row r="17" spans="2:18" ht="15" customHeight="1" thickBot="1">
      <c r="B17" s="638" t="s">
        <v>353</v>
      </c>
      <c r="C17" s="639"/>
      <c r="D17" s="640"/>
    </row>
    <row r="21" spans="2:18">
      <c r="O21" s="50"/>
      <c r="P21" s="48"/>
      <c r="Q21" s="50"/>
      <c r="R21" s="48"/>
    </row>
    <row r="22" spans="2:18">
      <c r="N22" s="48"/>
    </row>
    <row r="23" spans="2:18">
      <c r="N23" s="50"/>
    </row>
    <row r="24" spans="2:18">
      <c r="N24" s="48"/>
    </row>
    <row r="25" spans="2:18">
      <c r="N25" s="50"/>
    </row>
    <row r="26" spans="2:18">
      <c r="N26" s="48"/>
    </row>
    <row r="34" spans="3:19">
      <c r="D34" s="50"/>
      <c r="E34" s="48"/>
      <c r="F34" s="50"/>
      <c r="G34" s="48"/>
    </row>
    <row r="35" spans="3:19">
      <c r="C35" s="48"/>
      <c r="P35" s="50"/>
      <c r="Q35" s="48"/>
      <c r="R35" s="50"/>
      <c r="S35" s="48"/>
    </row>
    <row r="36" spans="3:19">
      <c r="C36" s="50"/>
      <c r="O36" s="48"/>
    </row>
    <row r="37" spans="3:19">
      <c r="C37" s="48"/>
      <c r="O37" s="50"/>
    </row>
    <row r="38" spans="3:19">
      <c r="C38" s="50"/>
      <c r="O38" s="48"/>
    </row>
    <row r="39" spans="3:19">
      <c r="C39" s="48"/>
      <c r="O39" s="50"/>
    </row>
    <row r="40" spans="3:19">
      <c r="O40" s="48"/>
    </row>
  </sheetData>
  <mergeCells count="14">
    <mergeCell ref="B16:D16"/>
    <mergeCell ref="B17:D17"/>
    <mergeCell ref="B15:D15"/>
    <mergeCell ref="B4:D4"/>
    <mergeCell ref="B5:D5"/>
    <mergeCell ref="B6:D6"/>
    <mergeCell ref="B7:D7"/>
    <mergeCell ref="B8:D8"/>
    <mergeCell ref="B9:D9"/>
    <mergeCell ref="B10:D10"/>
    <mergeCell ref="B11:D11"/>
    <mergeCell ref="B12:D12"/>
    <mergeCell ref="B13:D13"/>
    <mergeCell ref="B14:D14"/>
  </mergeCells>
  <conditionalFormatting sqref="H7:L11">
    <cfRule type="colorScale" priority="1">
      <colorScale>
        <cfvo type="min"/>
        <cfvo type="percentile" val="50"/>
        <cfvo type="max"/>
        <color rgb="FFF8696B"/>
        <color rgb="FFFFEB84"/>
        <color rgb="FF63BE7B"/>
      </colorScale>
    </cfRule>
  </conditionalFormatting>
  <conditionalFormatting sqref="Q7:U11">
    <cfRule type="colorScale" priority="3">
      <colorScale>
        <cfvo type="min"/>
        <cfvo type="percentile" val="50"/>
        <cfvo type="max"/>
        <color rgb="FFF8696B"/>
        <color rgb="FFFFEB84"/>
        <color rgb="FF63BE7B"/>
      </colorScale>
    </cfRule>
  </conditionalFormatting>
  <conditionalFormatting sqref="Y7:AC11">
    <cfRule type="colorScale" priority="2">
      <colorScale>
        <cfvo type="min"/>
        <cfvo type="percentile" val="50"/>
        <cfvo type="max"/>
        <color rgb="FFF8696B"/>
        <color rgb="FFFFEB84"/>
        <color rgb="FF63BE7B"/>
      </colorScale>
    </cfRule>
  </conditionalFormatting>
  <hyperlinks>
    <hyperlink ref="B10:D10" location="'Forecasted IS'!A1" display="Forecasted IS" xr:uid="{EB50B829-F8E1-4EA0-8BF5-7DB6DC200699}"/>
    <hyperlink ref="B5:D5" location="'Income Statement'!A1" display="Income Statement" xr:uid="{A6FCC047-78DB-49F8-9243-28849CFEF544}"/>
    <hyperlink ref="B7:D7" location="'Market data'!A1" display="Market Data" xr:uid="{FEADBC03-1883-446C-988B-24506B17594B}"/>
    <hyperlink ref="B6:D6" location="'Key stats'!A1" display="Key Stat" xr:uid="{6EC2A351-A4FC-4AB0-9CA2-1559EFEBD76F}"/>
    <hyperlink ref="B9:D9" location="'Cash Flow'!A1" display="Cash Flow" xr:uid="{14CB8A98-3306-4BBF-B7B4-DE9D46EEF47C}"/>
    <hyperlink ref="B14:D14" location="FCF!A1" display="FCF" xr:uid="{AABB2267-F154-4CF2-B992-2FE4FCEDC2F2}"/>
    <hyperlink ref="B12:D12" location="WACC!A1" display="WACC" xr:uid="{9C2915A4-AAA9-4C0B-91E8-C67955770708}"/>
    <hyperlink ref="B8:D8" location="Segments!A1" display="Segments" xr:uid="{32209825-331C-4498-B4D5-85AB04029C67}"/>
    <hyperlink ref="B13:D13" location="TV!A1" display="TV" xr:uid="{423FFC0F-ACDA-486C-B4FD-7905E871928D}"/>
    <hyperlink ref="B15:D15" location="'sensitivity analysis'!A1" display="Sensitivity analysis" xr:uid="{70FFB983-C3E7-46B1-BAF2-A15BA19FC98D}"/>
    <hyperlink ref="B16:D16" location="Comparables!A1" display="Comparables" xr:uid="{0BCA5317-19DB-44BE-81E6-B089504C42F0}"/>
    <hyperlink ref="B17:D17" location="Project!A1" display="Project" xr:uid="{FC33DFF8-FB80-45C4-9434-C3129602D7A5}"/>
    <hyperlink ref="B4:D4" location="'Balance sheet'!A1" display="Balance Sheet" xr:uid="{3FD98CB7-C430-4D94-A2FF-7EBEB304CAC8}"/>
    <hyperlink ref="B11:D11" location="'Forecasted BS'!A1" display="Forecasted BS" xr:uid="{0D5C2152-9B01-4BCC-A21B-BD19CF70DEB9}"/>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063F7-D212-4C4C-B1FE-A42FDFD5C65E}">
  <sheetPr>
    <tabColor rgb="FF92D050"/>
  </sheetPr>
  <dimension ref="B1:V138"/>
  <sheetViews>
    <sheetView tabSelected="1" topLeftCell="A54" zoomScale="31" zoomScaleNormal="85" workbookViewId="0">
      <selection activeCell="H79" sqref="H79"/>
    </sheetView>
  </sheetViews>
  <sheetFormatPr baseColWidth="10" defaultColWidth="8.90625" defaultRowHeight="14.5"/>
  <cols>
    <col min="6" max="9" width="44.90625" customWidth="1"/>
    <col min="10" max="10" width="51.36328125" customWidth="1"/>
    <col min="11" max="11" width="44.90625" customWidth="1"/>
    <col min="12" max="12" width="46.453125" customWidth="1"/>
    <col min="13" max="14" width="44.90625" customWidth="1"/>
    <col min="15" max="15" width="49.453125" customWidth="1"/>
    <col min="16" max="19" width="44.90625" customWidth="1"/>
    <col min="20" max="20" width="34" customWidth="1"/>
    <col min="21" max="24" width="27.453125" customWidth="1"/>
  </cols>
  <sheetData>
    <row r="1" spans="2:22" ht="15" thickBot="1"/>
    <row r="2" spans="2:22" ht="35.25" customHeight="1">
      <c r="B2" s="125"/>
      <c r="C2" s="88" t="s">
        <v>237</v>
      </c>
      <c r="D2" s="126"/>
      <c r="F2" s="676" t="s">
        <v>352</v>
      </c>
      <c r="G2" s="677"/>
      <c r="H2" s="677"/>
      <c r="I2" s="677"/>
      <c r="J2" s="677"/>
      <c r="K2" s="677"/>
      <c r="L2" s="677"/>
      <c r="M2" s="677"/>
      <c r="N2" s="677"/>
      <c r="O2" s="677"/>
      <c r="P2" s="677"/>
      <c r="Q2" s="677"/>
      <c r="R2" s="678"/>
    </row>
    <row r="3" spans="2:22" ht="35.25" customHeight="1" thickBot="1">
      <c r="B3" s="644" t="s">
        <v>21</v>
      </c>
      <c r="C3" s="645"/>
      <c r="D3" s="646"/>
      <c r="F3" s="679"/>
      <c r="G3" s="680"/>
      <c r="H3" s="680"/>
      <c r="I3" s="680"/>
      <c r="J3" s="680"/>
      <c r="K3" s="680"/>
      <c r="L3" s="680"/>
      <c r="M3" s="680"/>
      <c r="N3" s="680"/>
      <c r="O3" s="680"/>
      <c r="P3" s="680"/>
      <c r="Q3" s="680"/>
      <c r="R3" s="681"/>
    </row>
    <row r="4" spans="2:22" ht="35.25" customHeight="1">
      <c r="B4" s="644" t="s">
        <v>112</v>
      </c>
      <c r="C4" s="645"/>
      <c r="D4" s="646"/>
      <c r="F4" s="520"/>
      <c r="G4" s="520"/>
      <c r="H4" s="520"/>
      <c r="I4" s="520"/>
      <c r="J4" s="520"/>
      <c r="K4" s="520"/>
      <c r="L4" s="520"/>
      <c r="M4" s="520"/>
      <c r="N4" s="520"/>
      <c r="O4" s="520"/>
      <c r="P4" s="520"/>
      <c r="Q4" s="520"/>
      <c r="R4" s="520"/>
    </row>
    <row r="5" spans="2:22" ht="24.9" customHeight="1">
      <c r="B5" s="644" t="s">
        <v>247</v>
      </c>
      <c r="C5" s="645"/>
      <c r="D5" s="646"/>
      <c r="G5" s="682" t="s">
        <v>512</v>
      </c>
      <c r="H5" s="682"/>
      <c r="I5" s="682"/>
      <c r="J5" s="682"/>
      <c r="K5" s="682"/>
      <c r="L5" s="682"/>
      <c r="M5" s="682"/>
      <c r="N5" s="682"/>
      <c r="O5" s="682"/>
      <c r="P5" s="682"/>
      <c r="Q5" s="682"/>
      <c r="R5" s="682"/>
      <c r="T5" s="654"/>
      <c r="U5" s="654"/>
      <c r="V5" s="654"/>
    </row>
    <row r="6" spans="2:22" ht="24.9" customHeight="1">
      <c r="B6" s="644" t="s">
        <v>246</v>
      </c>
      <c r="C6" s="645"/>
      <c r="D6" s="646"/>
      <c r="G6" s="683"/>
      <c r="H6" s="683"/>
      <c r="I6" s="683"/>
      <c r="J6" s="683"/>
      <c r="K6" s="683"/>
      <c r="L6" s="683"/>
      <c r="M6" s="683"/>
      <c r="N6" s="683"/>
      <c r="O6" s="683"/>
      <c r="P6" s="683"/>
      <c r="Q6" s="683"/>
      <c r="R6" s="683"/>
      <c r="T6" s="654"/>
      <c r="U6" s="654"/>
      <c r="V6" s="654"/>
    </row>
    <row r="7" spans="2:22" ht="18.5">
      <c r="B7" s="644" t="s">
        <v>252</v>
      </c>
      <c r="C7" s="645"/>
      <c r="D7" s="646"/>
      <c r="F7" s="503" t="s">
        <v>513</v>
      </c>
      <c r="G7" s="504" t="s">
        <v>514</v>
      </c>
      <c r="H7" s="504" t="s">
        <v>514</v>
      </c>
      <c r="I7" s="504" t="s">
        <v>515</v>
      </c>
      <c r="J7" s="504" t="s">
        <v>516</v>
      </c>
      <c r="K7" s="505" t="s">
        <v>517</v>
      </c>
      <c r="L7" s="505" t="s">
        <v>517</v>
      </c>
      <c r="M7" s="506" t="s">
        <v>518</v>
      </c>
      <c r="N7" s="506" t="s">
        <v>518</v>
      </c>
      <c r="O7" s="504" t="s">
        <v>519</v>
      </c>
      <c r="P7" s="504" t="s">
        <v>519</v>
      </c>
      <c r="Q7" s="507" t="s">
        <v>520</v>
      </c>
      <c r="R7" s="508"/>
      <c r="T7" s="654"/>
      <c r="U7" s="654"/>
      <c r="V7" s="654"/>
    </row>
    <row r="8" spans="2:22" ht="17.5">
      <c r="B8" s="644" t="s">
        <v>249</v>
      </c>
      <c r="C8" s="645"/>
      <c r="D8" s="646"/>
      <c r="F8" s="519" t="s">
        <v>521</v>
      </c>
      <c r="G8" s="504" t="s">
        <v>25</v>
      </c>
      <c r="H8" s="504" t="s">
        <v>25</v>
      </c>
      <c r="I8" s="504" t="s">
        <v>25</v>
      </c>
      <c r="J8" s="504" t="s">
        <v>25</v>
      </c>
      <c r="K8" s="504" t="s">
        <v>522</v>
      </c>
      <c r="L8" s="504" t="s">
        <v>523</v>
      </c>
      <c r="M8" s="504" t="s">
        <v>524</v>
      </c>
      <c r="N8" s="504" t="s">
        <v>525</v>
      </c>
      <c r="O8" s="504" t="s">
        <v>526</v>
      </c>
      <c r="P8" s="504" t="s">
        <v>527</v>
      </c>
      <c r="Q8" s="507" t="s">
        <v>25</v>
      </c>
      <c r="R8" s="508"/>
      <c r="T8" s="654"/>
      <c r="U8" s="654"/>
      <c r="V8" s="654"/>
    </row>
    <row r="9" spans="2:22" ht="17.5">
      <c r="B9" s="644" t="s">
        <v>242</v>
      </c>
      <c r="C9" s="645"/>
      <c r="D9" s="646"/>
      <c r="F9" s="510" t="s">
        <v>528</v>
      </c>
      <c r="G9" s="511">
        <f>G10*G11</f>
        <v>14314.285685000001</v>
      </c>
      <c r="H9" s="511">
        <f>H10*H11</f>
        <v>11114.621826000001</v>
      </c>
      <c r="I9" s="512">
        <f>I10*I11</f>
        <v>28813.881064000001</v>
      </c>
      <c r="J9" s="512">
        <f>J11*J10</f>
        <v>6366.9039997500004</v>
      </c>
      <c r="K9" s="512">
        <f>K10*K11</f>
        <v>43130.240753040001</v>
      </c>
      <c r="L9" s="512">
        <f>K9*0.14</f>
        <v>6038.2337054256004</v>
      </c>
      <c r="M9" s="512">
        <f>M10*M11</f>
        <v>11038508.850000001</v>
      </c>
      <c r="N9" s="512">
        <f>M9*0.00074</f>
        <v>8168.4965490000013</v>
      </c>
      <c r="O9" s="512">
        <f>O10*O11</f>
        <v>11932.044794399999</v>
      </c>
      <c r="P9" s="512">
        <f>O9*1.19</f>
        <v>14199.133305335998</v>
      </c>
      <c r="Q9" s="208">
        <f>Q10*Q11</f>
        <v>10764.567978899999</v>
      </c>
      <c r="R9" s="513"/>
      <c r="T9" s="654"/>
      <c r="U9" s="654"/>
      <c r="V9" s="654"/>
    </row>
    <row r="10" spans="2:22" ht="17.5">
      <c r="B10" s="644" t="s">
        <v>239</v>
      </c>
      <c r="C10" s="645"/>
      <c r="D10" s="646"/>
      <c r="F10" s="510" t="s">
        <v>529</v>
      </c>
      <c r="G10" s="518">
        <v>240.57623000000001</v>
      </c>
      <c r="H10" s="512">
        <v>240.57623000000001</v>
      </c>
      <c r="I10" s="512">
        <v>460.28564</v>
      </c>
      <c r="J10" s="512">
        <v>134.749291</v>
      </c>
      <c r="K10" s="512">
        <v>453.62053800000001</v>
      </c>
      <c r="L10" s="512">
        <v>453.62053800000001</v>
      </c>
      <c r="M10" s="512">
        <v>77.463220000000007</v>
      </c>
      <c r="N10" s="512">
        <v>77.463220000000007</v>
      </c>
      <c r="O10" s="512">
        <v>192.63875999999999</v>
      </c>
      <c r="P10" s="512">
        <v>192.63875999999999</v>
      </c>
      <c r="Q10" s="514">
        <v>103.158294</v>
      </c>
      <c r="R10" s="513"/>
      <c r="T10" s="654"/>
      <c r="U10" s="654"/>
      <c r="V10" s="654"/>
    </row>
    <row r="11" spans="2:22" ht="17.5">
      <c r="B11" s="644" t="s">
        <v>251</v>
      </c>
      <c r="C11" s="645"/>
      <c r="D11" s="646"/>
      <c r="F11" s="510" t="s">
        <v>530</v>
      </c>
      <c r="G11" s="515">
        <v>59.5</v>
      </c>
      <c r="H11" s="515">
        <v>46.2</v>
      </c>
      <c r="I11" s="512">
        <v>62.6</v>
      </c>
      <c r="J11" s="512">
        <v>47.25</v>
      </c>
      <c r="K11" s="512">
        <v>95.08</v>
      </c>
      <c r="L11" s="512">
        <f>K11*0.14</f>
        <v>13.311200000000001</v>
      </c>
      <c r="M11" s="512">
        <v>142500</v>
      </c>
      <c r="N11" s="512">
        <f>M11*0.00074</f>
        <v>105.45</v>
      </c>
      <c r="O11" s="512">
        <v>61.94</v>
      </c>
      <c r="P11" s="512">
        <f>O11*1.19</f>
        <v>73.70859999999999</v>
      </c>
      <c r="Q11" s="208">
        <v>104.35</v>
      </c>
      <c r="R11" s="513"/>
      <c r="T11" s="654"/>
      <c r="U11" s="654"/>
      <c r="V11" s="654"/>
    </row>
    <row r="12" spans="2:22" ht="17.5">
      <c r="B12" s="644" t="s">
        <v>254</v>
      </c>
      <c r="C12" s="645"/>
      <c r="D12" s="646"/>
      <c r="F12" s="510" t="s">
        <v>531</v>
      </c>
      <c r="G12" s="516">
        <v>1414.0239999999999</v>
      </c>
      <c r="H12" s="516">
        <v>1414.0239999999999</v>
      </c>
      <c r="I12" s="512">
        <v>16680.173999999999</v>
      </c>
      <c r="J12" s="512">
        <v>3128.1</v>
      </c>
      <c r="K12" s="512">
        <v>-394.31099999999998</v>
      </c>
      <c r="L12" s="512">
        <f>K12*0.14</f>
        <v>-55.203540000000004</v>
      </c>
      <c r="M12" s="512">
        <v>7281</v>
      </c>
      <c r="N12" s="512">
        <f>M12*0.00074</f>
        <v>5.3879399999999995</v>
      </c>
      <c r="O12" s="512">
        <v>1036</v>
      </c>
      <c r="P12" s="512">
        <f>O12*1.19</f>
        <v>1232.8399999999999</v>
      </c>
      <c r="Q12" s="208">
        <v>4258.3999999999996</v>
      </c>
      <c r="R12" s="513"/>
    </row>
    <row r="13" spans="2:22" ht="17.5">
      <c r="B13" s="644" t="s">
        <v>350</v>
      </c>
      <c r="C13" s="645"/>
      <c r="D13" s="646"/>
      <c r="F13" s="569" t="s">
        <v>532</v>
      </c>
      <c r="G13" s="570">
        <f>SUM(G9,G12)</f>
        <v>15728.309685</v>
      </c>
      <c r="H13" s="570">
        <f>SUM(H9,H12)</f>
        <v>12528.645826</v>
      </c>
      <c r="I13" s="571">
        <f>I9+I12</f>
        <v>45494.055064</v>
      </c>
      <c r="J13" s="571">
        <f>J9+J12</f>
        <v>9495.0039997500007</v>
      </c>
      <c r="K13" s="570">
        <f>SUM(K9,K12)</f>
        <v>42735.92975304</v>
      </c>
      <c r="L13" s="571">
        <f>K13*0.14</f>
        <v>5983.0301654256009</v>
      </c>
      <c r="M13" s="571">
        <f>M9+M12</f>
        <v>11045789.850000001</v>
      </c>
      <c r="N13" s="571">
        <f>M13*0.00074</f>
        <v>8173.8844890000009</v>
      </c>
      <c r="O13" s="571">
        <f>O9+O12</f>
        <v>12968.044794399999</v>
      </c>
      <c r="P13" s="571">
        <f>O13*1.19</f>
        <v>15431.973305335998</v>
      </c>
      <c r="Q13" s="572">
        <f>Q9+Q12</f>
        <v>15022.967978899998</v>
      </c>
      <c r="R13" s="573"/>
    </row>
    <row r="14" spans="2:22" ht="17.5">
      <c r="B14" s="644" t="s">
        <v>255</v>
      </c>
      <c r="C14" s="645"/>
      <c r="D14" s="646"/>
      <c r="F14" s="564"/>
      <c r="G14" s="565"/>
      <c r="H14" s="565"/>
      <c r="I14" s="566"/>
      <c r="J14" s="566"/>
      <c r="K14" s="566"/>
      <c r="L14" s="566"/>
      <c r="M14" s="566"/>
      <c r="N14" s="566"/>
      <c r="O14" s="566"/>
      <c r="P14" s="566"/>
      <c r="Q14" s="567"/>
      <c r="R14" s="568"/>
    </row>
    <row r="15" spans="2:22" ht="17.5">
      <c r="B15" s="644" t="s">
        <v>352</v>
      </c>
      <c r="C15" s="645"/>
      <c r="D15" s="646"/>
      <c r="F15" s="598" t="s">
        <v>533</v>
      </c>
      <c r="G15" s="574"/>
      <c r="H15" s="574"/>
      <c r="I15" s="575"/>
      <c r="J15" s="575"/>
      <c r="K15" s="575"/>
      <c r="L15" s="575"/>
      <c r="M15" s="575"/>
      <c r="N15" s="575"/>
      <c r="O15" s="575"/>
      <c r="P15" s="575"/>
      <c r="Q15" s="576"/>
      <c r="R15" s="577"/>
    </row>
    <row r="16" spans="2:22" ht="18" thickBot="1">
      <c r="B16" s="638" t="s">
        <v>353</v>
      </c>
      <c r="C16" s="639"/>
      <c r="D16" s="640"/>
      <c r="F16" s="510" t="s">
        <v>120</v>
      </c>
      <c r="G16" s="516">
        <v>3238</v>
      </c>
      <c r="H16" s="516">
        <v>2342</v>
      </c>
      <c r="I16" s="512">
        <v>74732.25</v>
      </c>
      <c r="J16" s="512">
        <v>16270</v>
      </c>
      <c r="K16" s="512">
        <v>6314</v>
      </c>
      <c r="L16" s="512">
        <f>K16*0.14</f>
        <v>883.96</v>
      </c>
      <c r="M16" s="512">
        <v>19022185</v>
      </c>
      <c r="N16" s="512">
        <f>M16*0.00074</f>
        <v>14076.4169</v>
      </c>
      <c r="O16" s="512">
        <v>20560</v>
      </c>
      <c r="P16" s="512">
        <f>O16*1.19</f>
        <v>24466.399999999998</v>
      </c>
      <c r="Q16" s="208">
        <v>10584.32</v>
      </c>
      <c r="R16" s="513"/>
    </row>
    <row r="17" spans="6:18" ht="17.5">
      <c r="F17" s="510" t="s">
        <v>169</v>
      </c>
      <c r="G17" s="516">
        <v>571.77099999999996</v>
      </c>
      <c r="H17" s="516">
        <v>1052.74</v>
      </c>
      <c r="I17" s="512">
        <v>11256.7</v>
      </c>
      <c r="J17" s="512">
        <v>1678.8</v>
      </c>
      <c r="K17" s="512">
        <v>885</v>
      </c>
      <c r="L17" s="512">
        <f>K17*0.14</f>
        <v>123.9</v>
      </c>
      <c r="M17" s="512">
        <v>2430000</v>
      </c>
      <c r="N17" s="512">
        <f>M17*0.00074</f>
        <v>1798.2</v>
      </c>
      <c r="O17" s="512">
        <v>920.35</v>
      </c>
      <c r="P17" s="512">
        <f>O17*1.19</f>
        <v>1095.2165</v>
      </c>
      <c r="Q17" s="208">
        <v>2240</v>
      </c>
      <c r="R17" s="513"/>
    </row>
    <row r="18" spans="6:18" ht="17.5">
      <c r="F18" s="510" t="s">
        <v>171</v>
      </c>
      <c r="G18" s="516">
        <v>304</v>
      </c>
      <c r="H18" s="516">
        <v>774.09</v>
      </c>
      <c r="I18" s="512">
        <v>7712.4</v>
      </c>
      <c r="J18" s="512">
        <v>935</v>
      </c>
      <c r="K18" s="512">
        <v>744.5</v>
      </c>
      <c r="L18" s="512">
        <f>K18*0.14</f>
        <v>104.23</v>
      </c>
      <c r="M18" s="512">
        <v>136000</v>
      </c>
      <c r="N18" s="512">
        <f>M18*0.00074</f>
        <v>100.64</v>
      </c>
      <c r="O18" s="512">
        <v>671.48</v>
      </c>
      <c r="P18" s="512">
        <f>O18*1.19</f>
        <v>799.06119999999999</v>
      </c>
      <c r="Q18" s="208">
        <v>1340</v>
      </c>
      <c r="R18" s="513"/>
    </row>
    <row r="19" spans="6:18" ht="17.5">
      <c r="F19" s="509" t="s">
        <v>500</v>
      </c>
      <c r="G19" s="517">
        <f>'Forecasted IS'!L30</f>
        <v>135.92499999999654</v>
      </c>
      <c r="H19" s="516">
        <v>439.73</v>
      </c>
      <c r="I19" s="512">
        <v>5682</v>
      </c>
      <c r="J19" s="512">
        <v>199.6</v>
      </c>
      <c r="K19" s="512">
        <v>847.78</v>
      </c>
      <c r="L19" s="512">
        <f>K19*0.14</f>
        <v>118.68920000000001</v>
      </c>
      <c r="M19" s="512">
        <v>130650</v>
      </c>
      <c r="N19" s="512">
        <f>M19*0.00074</f>
        <v>96.680999999999997</v>
      </c>
      <c r="O19" s="512">
        <v>274.49</v>
      </c>
      <c r="P19" s="512">
        <f>O19*1.19</f>
        <v>326.6431</v>
      </c>
      <c r="Q19" s="208">
        <v>519</v>
      </c>
      <c r="R19" s="513"/>
    </row>
    <row r="20" spans="6:18" ht="17.5">
      <c r="F20" s="521"/>
      <c r="G20" s="522"/>
      <c r="H20" s="522"/>
      <c r="I20" s="523"/>
      <c r="J20" s="523"/>
      <c r="K20" s="523"/>
      <c r="L20" s="523"/>
      <c r="M20" s="523"/>
      <c r="N20" s="523"/>
      <c r="O20" s="523"/>
      <c r="P20" s="523"/>
      <c r="Q20" s="524"/>
      <c r="R20" s="525"/>
    </row>
    <row r="21" spans="6:18" ht="17.5">
      <c r="G21" s="522"/>
      <c r="H21" s="522"/>
      <c r="I21" s="523"/>
      <c r="J21" s="523"/>
      <c r="K21" s="523"/>
      <c r="L21" s="523"/>
      <c r="M21" s="523"/>
      <c r="N21" s="523"/>
      <c r="O21" s="523"/>
      <c r="P21" s="523"/>
      <c r="Q21" s="524"/>
      <c r="R21" s="525"/>
    </row>
    <row r="22" spans="6:18" ht="17.5">
      <c r="F22" s="519" t="s">
        <v>534</v>
      </c>
      <c r="G22" s="516"/>
      <c r="H22" s="516"/>
      <c r="I22" s="512"/>
      <c r="J22" s="512"/>
      <c r="K22" s="512"/>
      <c r="L22" s="512"/>
      <c r="M22" s="512"/>
      <c r="N22" s="512"/>
      <c r="O22" s="512"/>
      <c r="P22" s="512"/>
      <c r="Q22" s="532"/>
      <c r="R22" s="512" t="s">
        <v>535</v>
      </c>
    </row>
    <row r="23" spans="6:18" ht="17.5">
      <c r="F23" s="510" t="s">
        <v>536</v>
      </c>
      <c r="G23" s="516">
        <f t="shared" ref="G23:P23" si="0">G13/G16</f>
        <v>4.8574149737492283</v>
      </c>
      <c r="H23" s="516">
        <f t="shared" si="0"/>
        <v>5.3495498830059773</v>
      </c>
      <c r="I23" s="512">
        <f t="shared" si="0"/>
        <v>0.60876067646832521</v>
      </c>
      <c r="J23" s="512">
        <f t="shared" si="0"/>
        <v>0.58358967423171482</v>
      </c>
      <c r="K23" s="516">
        <f t="shared" si="0"/>
        <v>6.7684399355464047</v>
      </c>
      <c r="L23" s="516">
        <f t="shared" si="0"/>
        <v>6.7684399355464056</v>
      </c>
      <c r="M23" s="512">
        <f t="shared" si="0"/>
        <v>0.58067934099053298</v>
      </c>
      <c r="N23" s="512">
        <f t="shared" si="0"/>
        <v>0.58067934099053298</v>
      </c>
      <c r="O23" s="512">
        <f t="shared" si="0"/>
        <v>0.63074147832684824</v>
      </c>
      <c r="P23" s="512">
        <f t="shared" si="0"/>
        <v>0.63074147832684824</v>
      </c>
      <c r="Q23" s="208">
        <f>Q13/Q16</f>
        <v>1.419360712724105</v>
      </c>
      <c r="R23" s="512">
        <f>AVERAGE(H23,I23,J23,L23,N23,P23,Q23)</f>
        <v>2.2773031001848443</v>
      </c>
    </row>
    <row r="24" spans="6:18" ht="17.5">
      <c r="F24" s="510" t="s">
        <v>537</v>
      </c>
      <c r="G24" s="516">
        <f t="shared" ref="G24:P24" si="1">G13/G17</f>
        <v>27.508057745146225</v>
      </c>
      <c r="H24" s="516">
        <f t="shared" si="1"/>
        <v>11.900987732963504</v>
      </c>
      <c r="I24" s="512">
        <f t="shared" si="1"/>
        <v>4.0415090625138808</v>
      </c>
      <c r="J24" s="512">
        <f t="shared" si="1"/>
        <v>5.6558279722122951</v>
      </c>
      <c r="K24" s="516">
        <f t="shared" si="1"/>
        <v>48.289186161627121</v>
      </c>
      <c r="L24" s="516">
        <f t="shared" si="1"/>
        <v>48.289186161627121</v>
      </c>
      <c r="M24" s="512">
        <f t="shared" si="1"/>
        <v>4.545592530864198</v>
      </c>
      <c r="N24" s="512">
        <f t="shared" si="1"/>
        <v>4.545592530864198</v>
      </c>
      <c r="O24" s="512">
        <f t="shared" si="1"/>
        <v>14.090340407888302</v>
      </c>
      <c r="P24" s="512">
        <f t="shared" si="1"/>
        <v>14.090340407888302</v>
      </c>
      <c r="Q24" s="208">
        <f>Q13/Q17</f>
        <v>6.7066821334374991</v>
      </c>
      <c r="R24" s="512">
        <f>AVERAGE(H24,I24,J24,L24,N24,P24,Q24)</f>
        <v>13.604303714500972</v>
      </c>
    </row>
    <row r="25" spans="6:18" ht="17.5">
      <c r="F25" s="510" t="s">
        <v>538</v>
      </c>
      <c r="G25" s="516">
        <f t="shared" ref="G25:O25" si="2">G13/G18</f>
        <v>51.737860805921052</v>
      </c>
      <c r="H25" s="516">
        <f t="shared" si="2"/>
        <v>16.184998935524291</v>
      </c>
      <c r="I25" s="512">
        <f t="shared" si="2"/>
        <v>5.8988194419376594</v>
      </c>
      <c r="J25" s="512">
        <f t="shared" si="2"/>
        <v>10.15508449171123</v>
      </c>
      <c r="K25" s="516">
        <f t="shared" si="2"/>
        <v>57.402189057139019</v>
      </c>
      <c r="L25" s="516">
        <f t="shared" si="2"/>
        <v>57.402189057139026</v>
      </c>
      <c r="M25" s="512">
        <f t="shared" si="2"/>
        <v>81.219043014705889</v>
      </c>
      <c r="N25" s="512">
        <f t="shared" si="2"/>
        <v>81.219043014705889</v>
      </c>
      <c r="O25" s="512">
        <f t="shared" si="2"/>
        <v>19.312630002978494</v>
      </c>
      <c r="P25" s="512">
        <f>P13/P18</f>
        <v>19.312630002978494</v>
      </c>
      <c r="Q25" s="208">
        <f>Q13/Q18</f>
        <v>11.211170133507462</v>
      </c>
      <c r="R25" s="512">
        <f>AVERAGE(H25,I25,J25,L25,N25,P25,Q25)</f>
        <v>28.769133582500579</v>
      </c>
    </row>
    <row r="26" spans="6:18" ht="17.5">
      <c r="F26" s="533" t="s">
        <v>499</v>
      </c>
      <c r="G26" s="534">
        <v>105.3</v>
      </c>
      <c r="H26" s="534">
        <v>38.83</v>
      </c>
      <c r="I26" s="534">
        <v>14.13</v>
      </c>
      <c r="J26" s="534">
        <v>32.729999999999997</v>
      </c>
      <c r="K26" s="535">
        <v>47.85</v>
      </c>
      <c r="L26" s="535">
        <v>47.85</v>
      </c>
      <c r="M26" s="534" t="s">
        <v>539</v>
      </c>
      <c r="N26" s="534" t="s">
        <v>540</v>
      </c>
      <c r="O26" s="536">
        <v>21.459226999999998</v>
      </c>
      <c r="P26" s="536">
        <v>21.459226999999998</v>
      </c>
      <c r="Q26" s="208">
        <v>21.35</v>
      </c>
      <c r="R26" s="537">
        <f>AVERAGE(H26,I26,J26,L26,N26,P26,Q26)</f>
        <v>29.391537833333331</v>
      </c>
    </row>
    <row r="27" spans="6:18" ht="18.5">
      <c r="F27" s="578"/>
      <c r="G27" s="568"/>
      <c r="H27" s="568"/>
      <c r="I27" s="568"/>
      <c r="J27" s="568"/>
      <c r="K27" s="568"/>
      <c r="L27" s="568"/>
      <c r="M27" s="568"/>
      <c r="N27" s="568"/>
      <c r="O27" s="568"/>
      <c r="P27" s="568"/>
      <c r="Q27" s="567"/>
      <c r="R27" s="566"/>
    </row>
    <row r="28" spans="6:18" ht="17.5">
      <c r="F28" s="539" t="s">
        <v>541</v>
      </c>
      <c r="G28" s="513"/>
      <c r="H28" s="513"/>
      <c r="I28" s="513"/>
      <c r="J28" s="513"/>
      <c r="K28" s="513"/>
      <c r="L28" s="513"/>
      <c r="M28" s="513"/>
      <c r="N28" s="513"/>
      <c r="O28" s="513"/>
      <c r="P28" s="513"/>
      <c r="Q28" s="208"/>
      <c r="R28" s="512"/>
    </row>
    <row r="29" spans="6:18" ht="18.5">
      <c r="F29" s="538" t="s">
        <v>542</v>
      </c>
      <c r="G29" s="512">
        <v>10859</v>
      </c>
      <c r="H29" s="512">
        <v>10859</v>
      </c>
      <c r="I29" s="512">
        <v>110302</v>
      </c>
      <c r="J29" s="512">
        <v>113931</v>
      </c>
      <c r="K29" s="540" t="s">
        <v>29</v>
      </c>
      <c r="L29" s="540" t="s">
        <v>29</v>
      </c>
      <c r="M29" s="512">
        <v>1795</v>
      </c>
      <c r="N29" s="512">
        <v>1795</v>
      </c>
      <c r="O29" s="512">
        <v>14582</v>
      </c>
      <c r="P29" s="512">
        <v>14582</v>
      </c>
      <c r="Q29" s="512">
        <v>23663</v>
      </c>
      <c r="R29" s="512"/>
    </row>
    <row r="30" spans="6:18" ht="17.5">
      <c r="F30" s="509" t="s">
        <v>543</v>
      </c>
      <c r="G30" s="512">
        <f>(G16*10^6)/G29</f>
        <v>298185.83663320745</v>
      </c>
      <c r="H30" s="512">
        <f>(H16*10^6)/H29</f>
        <v>215673.63477299936</v>
      </c>
      <c r="I30" s="512">
        <f>(H17*10^6)/I29</f>
        <v>9544.1605773240735</v>
      </c>
      <c r="J30" s="512">
        <f>(I16*10^6)/J29</f>
        <v>655943.07080601412</v>
      </c>
      <c r="K30" s="541" t="s">
        <v>29</v>
      </c>
      <c r="L30" s="541" t="s">
        <v>29</v>
      </c>
      <c r="M30" s="512">
        <f>(M16*10^6)/M29</f>
        <v>10597317548.746517</v>
      </c>
      <c r="N30" s="512">
        <f>(N16*10^6)/N29</f>
        <v>7842014.9860724229</v>
      </c>
      <c r="O30" s="512">
        <f>(O16*10^6)/O29</f>
        <v>1409957.4818269098</v>
      </c>
      <c r="P30" s="512">
        <f>(P16*10^6)/P29</f>
        <v>1677849.4033740226</v>
      </c>
      <c r="Q30" s="512">
        <f>(Q16*10^6)/Q29</f>
        <v>447294.08781642228</v>
      </c>
      <c r="R30" s="512">
        <f>AVERAGE(H30,I30,J30,N30,P30,Q30)</f>
        <v>1808053.2239032008</v>
      </c>
    </row>
    <row r="33" spans="7:21" ht="9" customHeight="1"/>
    <row r="34" spans="7:21" ht="28.5" customHeight="1">
      <c r="G34" s="672" t="s">
        <v>544</v>
      </c>
      <c r="H34" s="672"/>
      <c r="I34" s="672"/>
      <c r="J34" s="672"/>
    </row>
    <row r="35" spans="7:21" ht="28.5" customHeight="1">
      <c r="G35" s="208" t="s">
        <v>545</v>
      </c>
      <c r="H35" s="208" t="s">
        <v>546</v>
      </c>
      <c r="I35" s="208" t="s">
        <v>547</v>
      </c>
      <c r="J35" s="208" t="s">
        <v>548</v>
      </c>
      <c r="T35" t="s">
        <v>549</v>
      </c>
      <c r="U35" s="603" t="s">
        <v>550</v>
      </c>
    </row>
    <row r="36" spans="7:21" ht="28.5" customHeight="1">
      <c r="G36" s="208">
        <f>R23</f>
        <v>2.2773031001848443</v>
      </c>
      <c r="H36" s="208">
        <f>R24</f>
        <v>13.604303714500972</v>
      </c>
      <c r="I36" s="208">
        <f>R25</f>
        <v>28.769133582500579</v>
      </c>
      <c r="J36" s="387">
        <f>R26</f>
        <v>29.391537833333331</v>
      </c>
      <c r="U36" s="603" t="s">
        <v>551</v>
      </c>
    </row>
    <row r="37" spans="7:21" ht="28.5" customHeight="1">
      <c r="G37" s="526"/>
      <c r="H37" s="526"/>
      <c r="I37" s="526"/>
      <c r="U37" s="603" t="s">
        <v>552</v>
      </c>
    </row>
    <row r="38" spans="7:21" ht="28.5" customHeight="1">
      <c r="G38" s="672" t="s">
        <v>553</v>
      </c>
      <c r="H38" s="672"/>
      <c r="I38" s="672"/>
      <c r="J38" s="672"/>
      <c r="U38" s="603" t="s">
        <v>554</v>
      </c>
    </row>
    <row r="39" spans="7:21" ht="28.5" customHeight="1">
      <c r="G39" s="208" t="s">
        <v>120</v>
      </c>
      <c r="H39" s="208" t="s">
        <v>169</v>
      </c>
      <c r="I39" s="208" t="s">
        <v>171</v>
      </c>
      <c r="J39" s="208" t="s">
        <v>548</v>
      </c>
      <c r="U39" s="603" t="s">
        <v>555</v>
      </c>
    </row>
    <row r="40" spans="7:21" ht="28.5" customHeight="1">
      <c r="G40" s="208">
        <f>(G36*H16)-H12</f>
        <v>3919.4198606329051</v>
      </c>
      <c r="H40" s="208">
        <f>(H36*H17)-H12</f>
        <v>12907.770692403754</v>
      </c>
      <c r="I40" s="208">
        <f>(I36*H18)-H12</f>
        <v>20855.874614877874</v>
      </c>
      <c r="J40" s="534">
        <f>(J36*H19)-H12</f>
        <v>11510.316931451667</v>
      </c>
    </row>
    <row r="41" spans="7:21" ht="28.5" customHeight="1">
      <c r="G41" s="526"/>
      <c r="H41" s="526"/>
      <c r="I41" s="526"/>
    </row>
    <row r="42" spans="7:21" ht="28.5" customHeight="1">
      <c r="G42" s="507" t="s">
        <v>556</v>
      </c>
      <c r="H42" s="526"/>
    </row>
    <row r="43" spans="7:21" ht="28.5" customHeight="1">
      <c r="G43" s="208">
        <f>AVERAGE(G40:J40)</f>
        <v>12298.345524841552</v>
      </c>
      <c r="H43" s="526"/>
    </row>
    <row r="44" spans="7:21" ht="28.5" customHeight="1">
      <c r="G44" s="526"/>
      <c r="H44" s="507" t="s">
        <v>557</v>
      </c>
    </row>
    <row r="45" spans="7:21" ht="28.5" customHeight="1">
      <c r="H45" s="208">
        <f>H10</f>
        <v>240.57623000000001</v>
      </c>
    </row>
    <row r="46" spans="7:21" ht="28.5" customHeight="1">
      <c r="I46" s="507" t="s">
        <v>558</v>
      </c>
    </row>
    <row r="47" spans="7:21" ht="28.5" customHeight="1">
      <c r="I47" s="208">
        <f>G43/H45</f>
        <v>51.12036847880421</v>
      </c>
    </row>
    <row r="48" spans="7:21" ht="28.5" customHeight="1"/>
    <row r="49" spans="6:18" ht="28.5" customHeight="1"/>
    <row r="50" spans="6:18" ht="28.5" customHeight="1"/>
    <row r="51" spans="6:18" ht="28.5" customHeight="1">
      <c r="K51" s="527"/>
      <c r="L51" s="528"/>
      <c r="M51" s="528"/>
      <c r="N51" s="528"/>
      <c r="O51" s="529"/>
      <c r="P51" s="528"/>
      <c r="Q51" s="528"/>
      <c r="R51" s="528"/>
    </row>
    <row r="52" spans="6:18" ht="28.5" customHeight="1">
      <c r="G52" s="684">
        <v>2020</v>
      </c>
      <c r="H52" s="684"/>
      <c r="I52" s="684"/>
      <c r="J52" s="684"/>
      <c r="K52" s="684"/>
      <c r="L52" s="684"/>
      <c r="M52" s="684"/>
      <c r="N52" s="684"/>
      <c r="O52" s="684"/>
      <c r="P52" s="684"/>
      <c r="Q52" s="684"/>
    </row>
    <row r="53" spans="6:18" ht="28.5" customHeight="1">
      <c r="G53" s="685"/>
      <c r="H53" s="685"/>
      <c r="I53" s="685"/>
      <c r="J53" s="685"/>
      <c r="K53" s="685"/>
      <c r="L53" s="685"/>
      <c r="M53" s="685"/>
      <c r="N53" s="685"/>
      <c r="O53" s="685"/>
      <c r="P53" s="685"/>
      <c r="Q53" s="685"/>
    </row>
    <row r="54" spans="6:18" ht="28.5" customHeight="1">
      <c r="F54" s="542" t="s">
        <v>513</v>
      </c>
      <c r="G54" s="507" t="s">
        <v>514</v>
      </c>
      <c r="H54" s="507" t="s">
        <v>515</v>
      </c>
      <c r="I54" s="507" t="s">
        <v>516</v>
      </c>
      <c r="J54" s="507" t="s">
        <v>520</v>
      </c>
      <c r="K54" s="543" t="s">
        <v>517</v>
      </c>
      <c r="L54" s="543" t="s">
        <v>517</v>
      </c>
      <c r="M54" s="544" t="s">
        <v>518</v>
      </c>
      <c r="N54" s="544" t="s">
        <v>518</v>
      </c>
      <c r="O54" s="507" t="s">
        <v>519</v>
      </c>
      <c r="P54" s="507" t="s">
        <v>519</v>
      </c>
      <c r="Q54" s="545"/>
    </row>
    <row r="55" spans="6:18" ht="28.5" customHeight="1">
      <c r="F55" s="519" t="s">
        <v>521</v>
      </c>
      <c r="G55" s="507" t="s">
        <v>25</v>
      </c>
      <c r="H55" s="507" t="s">
        <v>25</v>
      </c>
      <c r="I55" s="507" t="s">
        <v>25</v>
      </c>
      <c r="J55" s="507" t="s">
        <v>25</v>
      </c>
      <c r="K55" s="507" t="s">
        <v>522</v>
      </c>
      <c r="L55" s="507" t="s">
        <v>523</v>
      </c>
      <c r="M55" s="507" t="s">
        <v>524</v>
      </c>
      <c r="N55" s="507" t="s">
        <v>525</v>
      </c>
      <c r="O55" s="507" t="s">
        <v>559</v>
      </c>
      <c r="P55" s="507" t="s">
        <v>560</v>
      </c>
      <c r="Q55" s="545"/>
    </row>
    <row r="56" spans="6:18" ht="28.5" customHeight="1">
      <c r="F56" s="510" t="s">
        <v>528</v>
      </c>
      <c r="G56" s="511">
        <f>G57*G58</f>
        <v>14314.285685000001</v>
      </c>
      <c r="H56" s="511">
        <f>H57*H58</f>
        <v>29596.366651999997</v>
      </c>
      <c r="I56" s="511">
        <f>I57*I58</f>
        <v>5110.64320116</v>
      </c>
      <c r="J56" s="511">
        <f>J57*J58</f>
        <v>9934.1437121999988</v>
      </c>
      <c r="K56" s="511">
        <f>K57*K58</f>
        <v>15252.99059025</v>
      </c>
      <c r="L56" s="512">
        <f>K56*0.14</f>
        <v>2135.4186826350001</v>
      </c>
      <c r="M56" s="512">
        <f>M57*M58</f>
        <v>3888276.5924999998</v>
      </c>
      <c r="N56" s="512">
        <f>M56*0.00074</f>
        <v>2877.3246784499997</v>
      </c>
      <c r="O56" s="512">
        <f>P57*O58</f>
        <v>11420.01309065</v>
      </c>
      <c r="P56" s="512">
        <f>O56*0.89</f>
        <v>10163.811650678501</v>
      </c>
      <c r="Q56" s="534"/>
    </row>
    <row r="57" spans="6:18" ht="17.5">
      <c r="F57" s="510" t="s">
        <v>529</v>
      </c>
      <c r="G57" s="518">
        <v>240.57623000000001</v>
      </c>
      <c r="H57" s="512">
        <v>460.28564</v>
      </c>
      <c r="I57" s="512">
        <v>137.549272</v>
      </c>
      <c r="J57" s="512">
        <v>103.158294</v>
      </c>
      <c r="K57" s="512">
        <v>453.62053800000001</v>
      </c>
      <c r="L57" s="534">
        <v>453.62053800000001</v>
      </c>
      <c r="M57" s="512">
        <v>60.992573999999998</v>
      </c>
      <c r="N57" s="512">
        <v>60.992573999999998</v>
      </c>
      <c r="O57" s="546"/>
      <c r="P57" s="512">
        <v>192.09441699999999</v>
      </c>
      <c r="Q57" s="534"/>
    </row>
    <row r="58" spans="6:18" ht="20.25" customHeight="1">
      <c r="F58" s="510" t="s">
        <v>530</v>
      </c>
      <c r="G58" s="515">
        <v>59.5</v>
      </c>
      <c r="H58" s="512">
        <v>64.3</v>
      </c>
      <c r="I58" s="512">
        <v>37.155000000000001</v>
      </c>
      <c r="J58" s="512">
        <v>96.3</v>
      </c>
      <c r="K58" s="512">
        <v>33.625</v>
      </c>
      <c r="L58" s="534">
        <f>K58*0.14</f>
        <v>4.7075000000000005</v>
      </c>
      <c r="M58" s="512">
        <v>63750</v>
      </c>
      <c r="N58" s="512">
        <f>M58*0.00074</f>
        <v>47.174999999999997</v>
      </c>
      <c r="O58" s="512">
        <v>59.45</v>
      </c>
      <c r="P58" s="512">
        <f>O58*0.89</f>
        <v>52.910500000000006</v>
      </c>
      <c r="Q58" s="534"/>
    </row>
    <row r="59" spans="6:18" ht="20.25" customHeight="1">
      <c r="F59" s="510" t="s">
        <v>531</v>
      </c>
      <c r="G59" s="516">
        <v>1414.0239999999999</v>
      </c>
      <c r="H59" s="512">
        <v>16680.173999999999</v>
      </c>
      <c r="I59" s="512">
        <v>3128.1</v>
      </c>
      <c r="J59" s="512">
        <v>2398</v>
      </c>
      <c r="K59" s="512">
        <v>-394.31099999999998</v>
      </c>
      <c r="L59" s="534">
        <f>K59*0.14</f>
        <v>-55.203540000000004</v>
      </c>
      <c r="M59" s="512">
        <v>7281</v>
      </c>
      <c r="N59" s="512">
        <f>M59*0.00074</f>
        <v>5.3879399999999995</v>
      </c>
      <c r="O59" s="512">
        <v>1036</v>
      </c>
      <c r="P59" s="512">
        <f>O59*0.89</f>
        <v>922.04</v>
      </c>
      <c r="Q59" s="534"/>
    </row>
    <row r="60" spans="6:18" ht="20.25" customHeight="1">
      <c r="F60" s="510" t="s">
        <v>532</v>
      </c>
      <c r="G60" s="516">
        <f>SUM(G56,G59)</f>
        <v>15728.309685</v>
      </c>
      <c r="H60" s="516">
        <f>SUM(H56,H59)</f>
        <v>46276.540651999996</v>
      </c>
      <c r="I60" s="516">
        <f>SUM(I56,I59)</f>
        <v>8238.7432011599994</v>
      </c>
      <c r="J60" s="516">
        <f>SUM(J56,J59)</f>
        <v>12332.143712199999</v>
      </c>
      <c r="K60" s="516">
        <f>SUM(K56,K59)</f>
        <v>14858.67959025</v>
      </c>
      <c r="L60" s="534">
        <f>K60*0.14</f>
        <v>2080.2151426350001</v>
      </c>
      <c r="M60" s="512">
        <f>M56+M59</f>
        <v>3895557.5924999998</v>
      </c>
      <c r="N60" s="512">
        <f>M60*0.00074</f>
        <v>2882.7126184499998</v>
      </c>
      <c r="O60" s="512">
        <f>O56+O59</f>
        <v>12456.01309065</v>
      </c>
      <c r="P60" s="512">
        <f>O60*0.89</f>
        <v>11085.8516506785</v>
      </c>
      <c r="Q60" s="534"/>
    </row>
    <row r="61" spans="6:18" ht="20.25" customHeight="1">
      <c r="F61" s="564"/>
      <c r="G61" s="565"/>
      <c r="H61" s="566"/>
      <c r="I61" s="566"/>
      <c r="J61" s="566"/>
      <c r="K61" s="566"/>
      <c r="L61" s="579"/>
      <c r="M61" s="566"/>
      <c r="N61" s="566"/>
      <c r="O61" s="566"/>
      <c r="P61" s="566"/>
      <c r="Q61" s="579"/>
    </row>
    <row r="62" spans="6:18" ht="20.25" customHeight="1">
      <c r="F62" s="519" t="s">
        <v>533</v>
      </c>
      <c r="G62" s="516"/>
      <c r="H62" s="512"/>
      <c r="I62" s="512"/>
      <c r="J62" s="512"/>
      <c r="K62" s="512"/>
      <c r="L62" s="534"/>
      <c r="M62" s="512"/>
      <c r="N62" s="512"/>
      <c r="O62" s="512"/>
      <c r="P62" s="512"/>
      <c r="Q62" s="534"/>
    </row>
    <row r="63" spans="6:18" ht="20.25" customHeight="1">
      <c r="F63" s="510" t="s">
        <v>120</v>
      </c>
      <c r="G63" s="516">
        <v>3238</v>
      </c>
      <c r="H63" s="512">
        <v>59150</v>
      </c>
      <c r="I63" s="512">
        <v>14650</v>
      </c>
      <c r="J63" s="512">
        <v>9710</v>
      </c>
      <c r="K63" s="512">
        <v>3180</v>
      </c>
      <c r="L63" s="534">
        <f>K63*0.14</f>
        <v>445.20000000000005</v>
      </c>
      <c r="M63" s="512">
        <v>1566240</v>
      </c>
      <c r="N63" s="512">
        <f>M63*0.00074</f>
        <v>1159.0175999999999</v>
      </c>
      <c r="O63" s="512">
        <v>20470</v>
      </c>
      <c r="P63" s="512">
        <f>O63*0.89</f>
        <v>18218.3</v>
      </c>
      <c r="Q63" s="534"/>
    </row>
    <row r="64" spans="6:18" ht="20.25" customHeight="1">
      <c r="F64" s="510" t="s">
        <v>169</v>
      </c>
      <c r="G64" s="516">
        <v>571.77099999999996</v>
      </c>
      <c r="H64" s="512">
        <v>7110</v>
      </c>
      <c r="I64" s="512">
        <v>1170</v>
      </c>
      <c r="J64" s="512">
        <v>1840</v>
      </c>
      <c r="K64" s="512">
        <v>371.18</v>
      </c>
      <c r="L64" s="534">
        <f>K64*0.14</f>
        <v>51.965200000000003</v>
      </c>
      <c r="M64" s="512">
        <v>124670</v>
      </c>
      <c r="N64" s="512">
        <f>M64*0.00074</f>
        <v>92.255799999999994</v>
      </c>
      <c r="O64" s="512">
        <v>958.5</v>
      </c>
      <c r="P64" s="512">
        <f>O64*0.89</f>
        <v>853.06500000000005</v>
      </c>
      <c r="Q64" s="534"/>
    </row>
    <row r="65" spans="6:17" ht="20.25" customHeight="1">
      <c r="F65" s="510" t="s">
        <v>171</v>
      </c>
      <c r="G65" s="516">
        <v>304</v>
      </c>
      <c r="H65" s="512">
        <v>3310</v>
      </c>
      <c r="I65" s="512">
        <v>329.8</v>
      </c>
      <c r="J65" s="512">
        <v>1340</v>
      </c>
      <c r="K65" s="512">
        <v>294.58999999999997</v>
      </c>
      <c r="L65" s="534">
        <f>K65*0.14</f>
        <v>41.242600000000003</v>
      </c>
      <c r="M65" s="512">
        <v>60270</v>
      </c>
      <c r="N65" s="512">
        <f>M65*0.00074</f>
        <v>44.599800000000002</v>
      </c>
      <c r="O65" s="512">
        <v>710.39</v>
      </c>
      <c r="P65" s="512">
        <f>O65*0.89</f>
        <v>632.24710000000005</v>
      </c>
      <c r="Q65" s="534"/>
    </row>
    <row r="66" spans="6:17" ht="20.25" customHeight="1">
      <c r="F66" s="596" t="s">
        <v>500</v>
      </c>
      <c r="G66" s="570">
        <v>135.92500000000001</v>
      </c>
      <c r="H66" s="571">
        <v>-1420</v>
      </c>
      <c r="I66" s="571">
        <v>-378.8</v>
      </c>
      <c r="J66" s="571">
        <v>-1100</v>
      </c>
      <c r="K66" s="571">
        <v>384.9</v>
      </c>
      <c r="L66" s="597">
        <f>K66*0.14</f>
        <v>53.886000000000003</v>
      </c>
      <c r="M66" s="571">
        <v>29570</v>
      </c>
      <c r="N66" s="571">
        <f>M66*0.00074</f>
        <v>21.881799999999998</v>
      </c>
      <c r="O66" s="571">
        <v>267.7</v>
      </c>
      <c r="P66" s="571">
        <f>O66*0.89</f>
        <v>238.25299999999999</v>
      </c>
      <c r="Q66" s="597"/>
    </row>
    <row r="67" spans="6:17" ht="20.25" customHeight="1">
      <c r="F67" s="581"/>
      <c r="G67" s="565"/>
      <c r="H67" s="566"/>
      <c r="I67" s="566"/>
      <c r="J67" s="566"/>
      <c r="K67" s="566"/>
      <c r="L67" s="579"/>
      <c r="M67" s="566"/>
      <c r="N67" s="566"/>
      <c r="O67" s="566"/>
      <c r="P67" s="566"/>
      <c r="Q67" s="579"/>
    </row>
    <row r="68" spans="6:17" ht="20.25" customHeight="1">
      <c r="F68" s="598" t="s">
        <v>534</v>
      </c>
      <c r="G68" s="574"/>
      <c r="H68" s="575"/>
      <c r="I68" s="575"/>
      <c r="J68" s="575"/>
      <c r="K68" s="575"/>
      <c r="L68" s="599"/>
      <c r="M68" s="575"/>
      <c r="N68" s="575"/>
      <c r="O68" s="575"/>
      <c r="P68" s="575"/>
      <c r="Q68" s="599" t="s">
        <v>561</v>
      </c>
    </row>
    <row r="69" spans="6:17" ht="20.25" customHeight="1">
      <c r="F69" s="510" t="s">
        <v>536</v>
      </c>
      <c r="G69" s="516">
        <f t="shared" ref="G69:P69" si="3">G60/G63</f>
        <v>4.8574149737492283</v>
      </c>
      <c r="H69" s="516">
        <f t="shared" si="3"/>
        <v>0.78235909808960269</v>
      </c>
      <c r="I69" s="516">
        <f t="shared" si="3"/>
        <v>0.56237154956723545</v>
      </c>
      <c r="J69" s="516">
        <f t="shared" si="3"/>
        <v>1.2700456964160658</v>
      </c>
      <c r="K69" s="516">
        <f t="shared" si="3"/>
        <v>4.672540751650943</v>
      </c>
      <c r="L69" s="547">
        <f t="shared" si="3"/>
        <v>4.672540751650943</v>
      </c>
      <c r="M69" s="547">
        <f t="shared" si="3"/>
        <v>2.4872034889288996</v>
      </c>
      <c r="N69" s="547">
        <f t="shared" si="3"/>
        <v>2.4872034889288996</v>
      </c>
      <c r="O69" s="512">
        <f t="shared" si="3"/>
        <v>0.60850088376404499</v>
      </c>
      <c r="P69" s="512">
        <f t="shared" si="3"/>
        <v>0.60850088376404499</v>
      </c>
      <c r="Q69" s="534">
        <f>AVERAGE(G69,H69,I69,J69,L69,N69,P69)</f>
        <v>2.177205206023717</v>
      </c>
    </row>
    <row r="70" spans="6:17" ht="20.25" customHeight="1">
      <c r="F70" s="510" t="s">
        <v>537</v>
      </c>
      <c r="G70" s="516">
        <f t="shared" ref="G70:P70" si="4">G60/G64</f>
        <v>27.508057745146225</v>
      </c>
      <c r="H70" s="516">
        <f t="shared" si="4"/>
        <v>6.508655506610407</v>
      </c>
      <c r="I70" s="516">
        <f t="shared" si="4"/>
        <v>7.0416608556923075</v>
      </c>
      <c r="J70" s="516">
        <f t="shared" si="4"/>
        <v>6.7022520174999993</v>
      </c>
      <c r="K70" s="516">
        <f t="shared" si="4"/>
        <v>40.030927286626437</v>
      </c>
      <c r="L70" s="547">
        <f t="shared" si="4"/>
        <v>40.030927286626437</v>
      </c>
      <c r="M70" s="547">
        <f t="shared" si="4"/>
        <v>31.246952695115102</v>
      </c>
      <c r="N70" s="547">
        <f t="shared" si="4"/>
        <v>31.246952695115105</v>
      </c>
      <c r="O70" s="512">
        <f t="shared" si="4"/>
        <v>12.995318821752738</v>
      </c>
      <c r="P70" s="512">
        <f t="shared" si="4"/>
        <v>12.995318821752738</v>
      </c>
      <c r="Q70" s="534">
        <f>AVERAGE(G70,H70,I70,J70,L70,N70,P70)</f>
        <v>18.8619749897776</v>
      </c>
    </row>
    <row r="71" spans="6:17" ht="20.25" customHeight="1">
      <c r="F71" s="510" t="s">
        <v>538</v>
      </c>
      <c r="G71" s="516">
        <f t="shared" ref="G71:P71" si="5">G60/G65</f>
        <v>51.737860805921052</v>
      </c>
      <c r="H71" s="516">
        <f t="shared" si="5"/>
        <v>13.980827991540785</v>
      </c>
      <c r="I71" s="516">
        <f t="shared" si="5"/>
        <v>24.981028505639777</v>
      </c>
      <c r="J71" s="516">
        <f t="shared" si="5"/>
        <v>9.2030923225373122</v>
      </c>
      <c r="K71" s="516">
        <f t="shared" si="5"/>
        <v>50.438506365626807</v>
      </c>
      <c r="L71" s="547">
        <f t="shared" si="5"/>
        <v>50.4385063656268</v>
      </c>
      <c r="M71" s="547">
        <f t="shared" si="5"/>
        <v>64.6351019163763</v>
      </c>
      <c r="N71" s="547">
        <f t="shared" si="5"/>
        <v>64.6351019163763</v>
      </c>
      <c r="O71" s="512">
        <f t="shared" si="5"/>
        <v>17.534049030321373</v>
      </c>
      <c r="P71" s="512">
        <f t="shared" si="5"/>
        <v>17.53404903032137</v>
      </c>
      <c r="Q71" s="534">
        <f>AVERAGE(G71,H71,I71,J71,L71,N71,P71)</f>
        <v>33.215780991137628</v>
      </c>
    </row>
    <row r="72" spans="6:17" ht="20.25" customHeight="1">
      <c r="F72" s="600" t="s">
        <v>499</v>
      </c>
      <c r="G72" s="571">
        <v>105.325</v>
      </c>
      <c r="H72" s="571">
        <v>-1.1499999999999999</v>
      </c>
      <c r="I72" s="571">
        <v>-3.3</v>
      </c>
      <c r="J72" s="571">
        <v>-6.3</v>
      </c>
      <c r="K72" s="571">
        <v>73.58</v>
      </c>
      <c r="L72" s="571">
        <v>73.58</v>
      </c>
      <c r="M72" s="571">
        <v>214.48</v>
      </c>
      <c r="N72" s="571">
        <v>214.48</v>
      </c>
      <c r="O72" s="571">
        <v>30.55</v>
      </c>
      <c r="P72" s="571">
        <v>30.55</v>
      </c>
      <c r="Q72" s="597">
        <f>AVERAGE(G72,H72,I72,J72,L72,N72,P72)</f>
        <v>59.026428571428575</v>
      </c>
    </row>
    <row r="73" spans="6:17" ht="20.25" customHeight="1">
      <c r="F73" s="580"/>
      <c r="G73" s="566"/>
      <c r="H73" s="566"/>
      <c r="I73" s="566"/>
      <c r="J73" s="566"/>
      <c r="K73" s="566"/>
      <c r="L73" s="566"/>
      <c r="M73" s="566"/>
      <c r="N73" s="566"/>
      <c r="O73" s="566"/>
      <c r="P73" s="566"/>
      <c r="Q73" s="579"/>
    </row>
    <row r="74" spans="6:17" ht="20.25" customHeight="1">
      <c r="F74" s="602" t="s">
        <v>562</v>
      </c>
      <c r="G74" s="601"/>
      <c r="H74" s="601"/>
      <c r="I74" s="601"/>
      <c r="J74" s="601"/>
      <c r="K74" s="601"/>
      <c r="L74" s="601"/>
      <c r="M74" s="601"/>
      <c r="N74" s="601"/>
      <c r="O74" s="601"/>
      <c r="P74" s="601"/>
      <c r="Q74" s="599"/>
    </row>
    <row r="75" spans="6:17" ht="20.25" customHeight="1">
      <c r="F75" s="538" t="s">
        <v>542</v>
      </c>
      <c r="G75" s="512">
        <v>10859</v>
      </c>
      <c r="H75" s="512">
        <v>117922</v>
      </c>
      <c r="I75" s="548">
        <v>113931</v>
      </c>
      <c r="J75" s="512">
        <v>23660</v>
      </c>
      <c r="K75" s="540" t="s">
        <v>29</v>
      </c>
      <c r="L75" s="540" t="s">
        <v>29</v>
      </c>
      <c r="M75" s="512">
        <v>1795</v>
      </c>
      <c r="N75" s="512">
        <v>1795</v>
      </c>
      <c r="O75" s="512">
        <v>14582</v>
      </c>
      <c r="P75" s="512">
        <v>14582</v>
      </c>
      <c r="Q75" s="534"/>
    </row>
    <row r="76" spans="6:17" ht="20.25" customHeight="1">
      <c r="F76" s="509" t="s">
        <v>543</v>
      </c>
      <c r="G76" s="512">
        <f>(G63*10^6)/G75</f>
        <v>298185.83663320745</v>
      </c>
      <c r="H76" s="512">
        <f>(H63*10^6)/H75</f>
        <v>501602.75436305354</v>
      </c>
      <c r="I76" s="512">
        <f>(I63*10^6)/I75</f>
        <v>128586.60066180407</v>
      </c>
      <c r="J76" s="512">
        <f>(J63*10^6)/J75</f>
        <v>410397.29501267965</v>
      </c>
      <c r="K76" s="541" t="s">
        <v>29</v>
      </c>
      <c r="L76" s="541" t="s">
        <v>29</v>
      </c>
      <c r="M76" s="512">
        <f>(M63*10^6)/M75</f>
        <v>872557103.06406689</v>
      </c>
      <c r="N76" s="512">
        <f>(N63*10^6)/N75</f>
        <v>645692.25626740942</v>
      </c>
      <c r="O76" s="512">
        <f>O63*10^6/O75</f>
        <v>1403785.4889589904</v>
      </c>
      <c r="P76" s="512">
        <f>P63*10^6/P75</f>
        <v>1249369.0851735016</v>
      </c>
      <c r="Q76" s="534">
        <f>AVERAGE(G76,H76,I76,J76,N76,P76)</f>
        <v>538972.30468527589</v>
      </c>
    </row>
    <row r="77" spans="6:17" ht="20.25" customHeight="1"/>
    <row r="78" spans="6:17" ht="20.25" customHeight="1"/>
    <row r="79" spans="6:17" ht="20.25" customHeight="1"/>
    <row r="80" spans="6:17" ht="20.25" customHeight="1">
      <c r="G80" s="673" t="s">
        <v>544</v>
      </c>
      <c r="H80" s="673"/>
      <c r="I80" s="673"/>
      <c r="J80" s="673"/>
      <c r="K80" s="530"/>
      <c r="L80" s="530"/>
      <c r="M80" s="530"/>
    </row>
    <row r="81" spans="7:13" ht="20.25" customHeight="1">
      <c r="G81" s="208" t="s">
        <v>545</v>
      </c>
      <c r="H81" s="208" t="s">
        <v>546</v>
      </c>
      <c r="I81" s="208" t="s">
        <v>547</v>
      </c>
      <c r="J81" s="208" t="s">
        <v>548</v>
      </c>
      <c r="K81" s="530"/>
      <c r="L81" s="530"/>
      <c r="M81" s="530"/>
    </row>
    <row r="82" spans="7:13" ht="20.25" customHeight="1">
      <c r="G82" s="549">
        <f>Q69</f>
        <v>2.177205206023717</v>
      </c>
      <c r="H82" s="549">
        <f>Q70</f>
        <v>18.8619749897776</v>
      </c>
      <c r="I82" s="549">
        <f>Q71</f>
        <v>33.215780991137628</v>
      </c>
      <c r="J82" s="549">
        <f>Q72</f>
        <v>59.026428571428575</v>
      </c>
      <c r="K82" s="530"/>
      <c r="L82" s="530"/>
      <c r="M82" s="530"/>
    </row>
    <row r="83" spans="7:13" ht="20.25" customHeight="1">
      <c r="G83" s="530"/>
      <c r="H83" s="530"/>
      <c r="I83" s="530"/>
      <c r="J83" s="530"/>
      <c r="K83" s="530"/>
      <c r="L83" s="530"/>
      <c r="M83" s="530"/>
    </row>
    <row r="84" spans="7:13" ht="20.25" customHeight="1">
      <c r="G84" s="530"/>
      <c r="H84" s="530"/>
      <c r="I84" s="530"/>
      <c r="J84" s="530"/>
      <c r="K84" s="530"/>
      <c r="L84" s="530"/>
      <c r="M84" s="530"/>
    </row>
    <row r="85" spans="7:13" ht="20.25" customHeight="1">
      <c r="G85" s="672" t="s">
        <v>553</v>
      </c>
      <c r="H85" s="672"/>
      <c r="I85" s="672"/>
      <c r="J85" s="672"/>
      <c r="K85" s="530"/>
      <c r="L85" s="530"/>
      <c r="M85" s="530"/>
    </row>
    <row r="86" spans="7:13" ht="20.25" customHeight="1">
      <c r="G86" s="208" t="s">
        <v>120</v>
      </c>
      <c r="H86" s="208" t="s">
        <v>169</v>
      </c>
      <c r="I86" s="208" t="s">
        <v>171</v>
      </c>
      <c r="J86" s="208" t="s">
        <v>548</v>
      </c>
      <c r="K86" s="530"/>
      <c r="L86" s="530"/>
      <c r="M86" s="530"/>
    </row>
    <row r="87" spans="7:13" ht="20.25" customHeight="1">
      <c r="G87" s="549">
        <f>(G82*G63)-G59</f>
        <v>5635.7664571047953</v>
      </c>
      <c r="H87" s="549">
        <f>(H82*G64)-G59</f>
        <v>9370.7063018801273</v>
      </c>
      <c r="I87" s="549">
        <f>(I82*G65)-G59</f>
        <v>8683.5734213058386</v>
      </c>
      <c r="J87" s="549">
        <f>(J82*G66)-G59</f>
        <v>6609.143303571429</v>
      </c>
      <c r="K87" s="530"/>
      <c r="L87" s="530"/>
      <c r="M87" s="530"/>
    </row>
    <row r="88" spans="7:13" ht="20.25" customHeight="1">
      <c r="G88" s="530"/>
      <c r="H88" s="530"/>
      <c r="I88" s="530"/>
      <c r="J88" s="530"/>
      <c r="K88" s="530"/>
      <c r="L88" s="530"/>
      <c r="M88" s="530"/>
    </row>
    <row r="89" spans="7:13" ht="20.25" customHeight="1">
      <c r="G89" s="530"/>
      <c r="H89" s="530"/>
      <c r="I89" s="530"/>
      <c r="J89" s="530"/>
      <c r="K89" s="530"/>
      <c r="L89" s="530"/>
      <c r="M89" s="530"/>
    </row>
    <row r="90" spans="7:13" ht="18.5">
      <c r="G90" s="507" t="s">
        <v>556</v>
      </c>
      <c r="H90" s="530"/>
      <c r="I90" s="530"/>
      <c r="J90" s="530"/>
      <c r="K90" s="530"/>
      <c r="L90" s="530"/>
      <c r="M90" s="530"/>
    </row>
    <row r="91" spans="7:13" ht="18.5">
      <c r="G91" s="549">
        <f>AVERAGE(G87:J87)</f>
        <v>7574.7973709655471</v>
      </c>
      <c r="H91" s="530"/>
      <c r="I91" s="530"/>
      <c r="J91" s="530"/>
      <c r="K91" s="530"/>
      <c r="L91" s="530"/>
      <c r="M91" s="530"/>
    </row>
    <row r="92" spans="7:13" ht="18.5">
      <c r="G92" s="530"/>
      <c r="H92" s="507" t="s">
        <v>557</v>
      </c>
      <c r="I92" s="530"/>
      <c r="J92" s="530"/>
      <c r="K92" s="530"/>
      <c r="L92" s="530"/>
      <c r="M92" s="530"/>
    </row>
    <row r="93" spans="7:13" ht="18.5">
      <c r="G93" s="530"/>
      <c r="H93" s="550">
        <f>G57</f>
        <v>240.57623000000001</v>
      </c>
      <c r="I93" s="530"/>
      <c r="J93" s="530"/>
      <c r="K93" s="530"/>
      <c r="L93" s="530"/>
      <c r="M93" s="530"/>
    </row>
    <row r="94" spans="7:13" ht="18.5">
      <c r="G94" s="530"/>
      <c r="H94" s="530"/>
      <c r="I94" s="504" t="s">
        <v>563</v>
      </c>
      <c r="J94" s="530"/>
      <c r="K94" s="530"/>
      <c r="L94" s="530"/>
      <c r="M94" s="530"/>
    </row>
    <row r="95" spans="7:13" ht="18.5">
      <c r="G95" s="530"/>
      <c r="H95" s="530"/>
      <c r="I95" s="549">
        <f>G91/G57</f>
        <v>31.486058996624674</v>
      </c>
      <c r="J95" s="530"/>
      <c r="K95" s="530"/>
      <c r="L95" s="530"/>
      <c r="M95" s="530"/>
    </row>
    <row r="96" spans="7:13" ht="18.5">
      <c r="G96" s="530"/>
      <c r="H96" s="530"/>
      <c r="I96" s="530"/>
      <c r="J96" s="530"/>
      <c r="K96" s="530"/>
      <c r="L96" s="530"/>
      <c r="M96" s="530"/>
    </row>
    <row r="97" spans="7:13" ht="18.5">
      <c r="G97" s="530"/>
      <c r="H97" s="530"/>
      <c r="I97" s="530"/>
      <c r="J97" s="530"/>
      <c r="K97" s="530"/>
      <c r="L97" s="673" t="s">
        <v>564</v>
      </c>
      <c r="M97" s="673"/>
    </row>
    <row r="98" spans="7:13" ht="18.5">
      <c r="G98" s="530"/>
      <c r="H98" s="530"/>
      <c r="I98" s="530"/>
      <c r="J98" s="530"/>
      <c r="K98" s="530"/>
      <c r="L98" s="675">
        <f>AVERAGE(I118,I95)</f>
        <v>41.181326464860746</v>
      </c>
      <c r="M98" s="675"/>
    </row>
    <row r="99" spans="7:13" ht="18.5">
      <c r="G99" s="530"/>
      <c r="H99" s="530"/>
      <c r="I99" s="530"/>
      <c r="J99" s="530"/>
      <c r="K99" s="530"/>
      <c r="L99" s="530"/>
      <c r="M99" s="530"/>
    </row>
    <row r="100" spans="7:13" ht="18.5">
      <c r="G100" s="530"/>
      <c r="H100" s="530"/>
      <c r="I100" s="530"/>
      <c r="J100" s="530"/>
      <c r="K100" s="530"/>
      <c r="L100" s="530"/>
      <c r="M100" s="530"/>
    </row>
    <row r="101" spans="7:13" ht="18.5">
      <c r="G101" s="530"/>
      <c r="H101" s="530"/>
      <c r="I101" s="530"/>
      <c r="J101" s="530"/>
      <c r="K101" s="530"/>
      <c r="L101" s="530"/>
      <c r="M101" s="530"/>
    </row>
    <row r="102" spans="7:13" ht="18.5">
      <c r="G102" s="530"/>
      <c r="H102" s="530"/>
      <c r="I102" s="530"/>
      <c r="J102" s="530"/>
      <c r="K102" s="530"/>
      <c r="L102" s="530"/>
      <c r="M102" s="530"/>
    </row>
    <row r="103" spans="7:13" ht="18.899999999999999" customHeight="1">
      <c r="G103" s="674" t="s">
        <v>544</v>
      </c>
      <c r="H103" s="674"/>
      <c r="I103" s="674"/>
      <c r="J103" s="674"/>
      <c r="K103" s="530"/>
      <c r="L103" s="530"/>
      <c r="M103" s="530"/>
    </row>
    <row r="104" spans="7:13" ht="18.5">
      <c r="G104" s="208" t="s">
        <v>545</v>
      </c>
      <c r="H104" s="208" t="s">
        <v>546</v>
      </c>
      <c r="I104" s="208" t="s">
        <v>547</v>
      </c>
      <c r="J104" s="208" t="s">
        <v>548</v>
      </c>
      <c r="K104" s="530"/>
      <c r="L104" s="530"/>
      <c r="M104" s="530"/>
    </row>
    <row r="105" spans="7:13" ht="18.5">
      <c r="G105" s="552">
        <f>AVERAGE(G69,L69,N69,P69)</f>
        <v>3.1564150245232789</v>
      </c>
      <c r="H105" s="552">
        <f>AVERAGE(G70,L70,N70,P70)</f>
        <v>27.945314137160125</v>
      </c>
      <c r="I105" s="552">
        <f>AVERAGE(G71,L71,N71,P71)</f>
        <v>46.086379529561377</v>
      </c>
      <c r="J105" s="552">
        <f>AVERAGE(G72,L72,N72,P72)</f>
        <v>105.98375</v>
      </c>
      <c r="K105" s="530"/>
      <c r="L105" s="530"/>
      <c r="M105" s="530"/>
    </row>
    <row r="106" spans="7:13" ht="18.5">
      <c r="G106" s="531"/>
      <c r="H106" s="531"/>
      <c r="I106" s="531"/>
      <c r="J106" s="531"/>
      <c r="K106" s="530"/>
      <c r="L106" s="530"/>
      <c r="M106" s="530"/>
    </row>
    <row r="107" spans="7:13" ht="18.5">
      <c r="G107" s="531"/>
      <c r="H107" s="531"/>
      <c r="I107" s="531"/>
      <c r="J107" s="531"/>
      <c r="K107" s="530"/>
      <c r="L107" s="530"/>
      <c r="M107" s="530"/>
    </row>
    <row r="108" spans="7:13" ht="18.5">
      <c r="G108" s="672" t="s">
        <v>553</v>
      </c>
      <c r="H108" s="672"/>
      <c r="I108" s="672"/>
      <c r="J108" s="672"/>
      <c r="K108" s="530"/>
      <c r="L108" s="530"/>
      <c r="M108" s="530"/>
    </row>
    <row r="109" spans="7:13" ht="18.5">
      <c r="G109" s="208" t="s">
        <v>120</v>
      </c>
      <c r="H109" s="208" t="s">
        <v>169</v>
      </c>
      <c r="I109" s="208" t="s">
        <v>171</v>
      </c>
      <c r="J109" s="208" t="s">
        <v>548</v>
      </c>
      <c r="K109" s="530"/>
      <c r="L109" s="530"/>
      <c r="M109" s="530"/>
    </row>
    <row r="110" spans="7:13" ht="18.5">
      <c r="G110" s="552">
        <f>(G105*G63)-G59</f>
        <v>8806.4478494063769</v>
      </c>
      <c r="H110" s="552">
        <f>(H105*G64)-G59</f>
        <v>14564.296209518181</v>
      </c>
      <c r="I110" s="552">
        <f>(I105*G65)-G59</f>
        <v>12596.235376986659</v>
      </c>
      <c r="J110" s="552">
        <f>(J105*G66)-G59</f>
        <v>12991.817218750002</v>
      </c>
      <c r="K110" s="530"/>
      <c r="L110" s="530"/>
      <c r="M110" s="530"/>
    </row>
    <row r="111" spans="7:13" ht="18.5">
      <c r="G111" s="531"/>
      <c r="H111" s="531"/>
      <c r="I111" s="531"/>
      <c r="J111" s="531"/>
      <c r="K111" s="530"/>
      <c r="L111" s="530"/>
      <c r="M111" s="530"/>
    </row>
    <row r="112" spans="7:13" ht="18.5">
      <c r="G112" s="531"/>
      <c r="H112" s="531"/>
      <c r="I112" s="531"/>
      <c r="J112" s="531"/>
      <c r="K112" s="530"/>
      <c r="L112" s="530"/>
      <c r="M112" s="530"/>
    </row>
    <row r="113" spans="6:14" ht="18.5">
      <c r="G113" s="507" t="s">
        <v>556</v>
      </c>
      <c r="H113" s="531"/>
      <c r="I113" s="531"/>
      <c r="J113" s="531"/>
      <c r="K113" s="530"/>
      <c r="L113" s="530"/>
      <c r="M113" s="530"/>
    </row>
    <row r="114" spans="6:14" ht="18.5">
      <c r="G114" s="552">
        <f>AVERAGE(G110:J110)</f>
        <v>12239.699163665306</v>
      </c>
      <c r="H114" s="531"/>
      <c r="I114" s="531"/>
      <c r="J114" s="531"/>
      <c r="K114" s="530"/>
      <c r="L114" s="530"/>
      <c r="M114" s="530"/>
    </row>
    <row r="115" spans="6:14" ht="18.5">
      <c r="G115" s="531"/>
      <c r="H115" s="507" t="s">
        <v>557</v>
      </c>
      <c r="I115" s="531"/>
      <c r="J115" s="531"/>
      <c r="K115" s="530"/>
      <c r="L115" s="530"/>
      <c r="M115" s="530"/>
    </row>
    <row r="116" spans="6:14" ht="18.5">
      <c r="G116" s="531"/>
      <c r="H116" s="553">
        <f>G57</f>
        <v>240.57623000000001</v>
      </c>
      <c r="J116" s="531"/>
      <c r="K116" s="530"/>
      <c r="L116" s="530"/>
      <c r="M116" s="530"/>
    </row>
    <row r="117" spans="6:14" ht="18.5">
      <c r="G117" s="531"/>
      <c r="H117" s="531"/>
      <c r="I117" s="551" t="s">
        <v>565</v>
      </c>
      <c r="J117" s="531"/>
      <c r="K117" s="530"/>
      <c r="L117" s="530"/>
      <c r="M117" s="530"/>
    </row>
    <row r="118" spans="6:14" ht="18.5">
      <c r="I118" s="552">
        <f>G114/H116</f>
        <v>50.876593933096821</v>
      </c>
    </row>
    <row r="121" spans="6:14" ht="19.5">
      <c r="F121" s="666">
        <v>2020</v>
      </c>
      <c r="G121" s="667"/>
      <c r="H121" s="667"/>
      <c r="I121" s="667"/>
      <c r="J121" s="667"/>
      <c r="K121" s="667"/>
      <c r="L121" s="667"/>
      <c r="M121" s="668"/>
      <c r="N121" s="658" t="s">
        <v>566</v>
      </c>
    </row>
    <row r="122" spans="6:14" ht="19">
      <c r="F122" s="554"/>
      <c r="G122" s="555" t="s">
        <v>567</v>
      </c>
      <c r="H122" s="664" t="s">
        <v>263</v>
      </c>
      <c r="I122" s="665"/>
      <c r="J122" s="661" t="s">
        <v>568</v>
      </c>
      <c r="K122" s="662"/>
      <c r="L122" s="663"/>
      <c r="M122" s="556" t="s">
        <v>569</v>
      </c>
      <c r="N122" s="659"/>
    </row>
    <row r="123" spans="6:14" ht="19.5" customHeight="1">
      <c r="F123" s="669" t="s">
        <v>570</v>
      </c>
      <c r="G123" s="670"/>
      <c r="H123" s="670"/>
      <c r="I123" s="670"/>
      <c r="J123" s="670"/>
      <c r="K123" s="670"/>
      <c r="L123" s="670"/>
      <c r="M123" s="671"/>
      <c r="N123" s="659"/>
    </row>
    <row r="124" spans="6:14" ht="19.5" customHeight="1">
      <c r="F124" s="554"/>
      <c r="G124" s="557" t="s">
        <v>514</v>
      </c>
      <c r="H124" s="557" t="s">
        <v>515</v>
      </c>
      <c r="I124" s="557" t="s">
        <v>516</v>
      </c>
      <c r="J124" s="559" t="s">
        <v>571</v>
      </c>
      <c r="K124" s="557" t="s">
        <v>572</v>
      </c>
      <c r="L124" s="557" t="s">
        <v>519</v>
      </c>
      <c r="M124" s="557" t="s">
        <v>520</v>
      </c>
      <c r="N124" s="659"/>
    </row>
    <row r="125" spans="6:14" ht="19.5" customHeight="1">
      <c r="F125" s="655" t="s">
        <v>573</v>
      </c>
      <c r="G125" s="656"/>
      <c r="H125" s="656"/>
      <c r="I125" s="656"/>
      <c r="J125" s="656"/>
      <c r="K125" s="656"/>
      <c r="L125" s="656"/>
      <c r="M125" s="657"/>
      <c r="N125" s="660"/>
    </row>
    <row r="126" spans="6:14" ht="19">
      <c r="F126" s="554" t="s">
        <v>574</v>
      </c>
      <c r="G126" s="557">
        <v>1.62</v>
      </c>
      <c r="H126" s="557">
        <v>1.83</v>
      </c>
      <c r="I126" s="557">
        <v>0.99</v>
      </c>
      <c r="J126" s="557">
        <v>2.25</v>
      </c>
      <c r="K126" s="557">
        <v>2.2599999999999998</v>
      </c>
      <c r="L126" s="557">
        <v>1.35</v>
      </c>
      <c r="M126" s="208">
        <v>1.62</v>
      </c>
      <c r="N126" s="558">
        <f>AVERAGE(H126:M126)</f>
        <v>1.7166666666666668</v>
      </c>
    </row>
    <row r="127" spans="6:14" ht="19">
      <c r="F127" s="554" t="s">
        <v>575</v>
      </c>
      <c r="G127" s="557">
        <v>0.81</v>
      </c>
      <c r="H127" s="557">
        <v>1.22</v>
      </c>
      <c r="I127" s="557">
        <v>0.82</v>
      </c>
      <c r="J127" s="557">
        <v>1.97</v>
      </c>
      <c r="K127" s="557">
        <v>1.61</v>
      </c>
      <c r="L127" s="557">
        <v>0.85</v>
      </c>
      <c r="M127" s="208">
        <v>1.1399999999999999</v>
      </c>
      <c r="N127" s="558">
        <f>AVERAGE(H127:M127)</f>
        <v>1.2683333333333333</v>
      </c>
    </row>
    <row r="128" spans="6:14" ht="19">
      <c r="F128" s="554" t="s">
        <v>576</v>
      </c>
      <c r="G128" s="557">
        <v>2.66</v>
      </c>
      <c r="H128" s="557">
        <v>0.69</v>
      </c>
      <c r="I128" s="557">
        <v>0.82</v>
      </c>
      <c r="J128" s="557">
        <v>0.6</v>
      </c>
      <c r="K128" s="557">
        <v>1.1000000000000001</v>
      </c>
      <c r="L128" s="557">
        <v>2.0699999999999998</v>
      </c>
      <c r="M128" s="208">
        <v>0.51</v>
      </c>
      <c r="N128" s="558">
        <f>AVERAGE(H128:M128)</f>
        <v>0.96499999999999986</v>
      </c>
    </row>
    <row r="129" spans="6:14" ht="19">
      <c r="F129" s="655" t="s">
        <v>577</v>
      </c>
      <c r="G129" s="656"/>
      <c r="H129" s="656"/>
      <c r="I129" s="656"/>
      <c r="J129" s="656"/>
      <c r="K129" s="656"/>
      <c r="L129" s="656"/>
      <c r="M129" s="656"/>
      <c r="N129" s="657"/>
    </row>
    <row r="130" spans="6:14" ht="19">
      <c r="F130" s="554" t="s">
        <v>578</v>
      </c>
      <c r="G130" s="557">
        <v>7.82</v>
      </c>
      <c r="H130" s="557">
        <v>0.69</v>
      </c>
      <c r="I130" s="557">
        <v>8.36</v>
      </c>
      <c r="J130" s="557">
        <v>7</v>
      </c>
      <c r="K130" s="557">
        <v>7.6</v>
      </c>
      <c r="L130" s="557">
        <v>7.88</v>
      </c>
      <c r="M130" s="208">
        <v>5.0999999999999996</v>
      </c>
      <c r="N130" s="558">
        <f>AVERAGE(H130:M130)</f>
        <v>6.1049999999999995</v>
      </c>
    </row>
    <row r="131" spans="6:14" ht="19">
      <c r="F131" s="655" t="s">
        <v>579</v>
      </c>
      <c r="G131" s="656"/>
      <c r="H131" s="656"/>
      <c r="I131" s="656"/>
      <c r="J131" s="656"/>
      <c r="K131" s="656"/>
      <c r="L131" s="656"/>
      <c r="M131" s="656"/>
      <c r="N131" s="657"/>
    </row>
    <row r="132" spans="6:14" ht="19">
      <c r="F132" s="554" t="s">
        <v>580</v>
      </c>
      <c r="G132" s="557">
        <v>0.92</v>
      </c>
      <c r="H132" s="557">
        <v>0.62</v>
      </c>
      <c r="I132" s="557">
        <v>1.67</v>
      </c>
      <c r="J132" s="557">
        <v>0.26</v>
      </c>
      <c r="K132" s="557">
        <v>0.82</v>
      </c>
      <c r="L132" s="557">
        <v>0.51</v>
      </c>
      <c r="M132" s="208">
        <v>0.96</v>
      </c>
      <c r="N132" s="558">
        <f>AVERAGE(H132:M132)</f>
        <v>0.80666666666666664</v>
      </c>
    </row>
    <row r="133" spans="6:14" ht="19">
      <c r="F133" s="554" t="s">
        <v>581</v>
      </c>
      <c r="G133" s="557">
        <v>0.28999999999999998</v>
      </c>
      <c r="H133" s="557">
        <v>0.26</v>
      </c>
      <c r="I133" s="557">
        <v>0.33</v>
      </c>
      <c r="J133" s="557">
        <v>0.17</v>
      </c>
      <c r="K133" s="557">
        <v>0.48</v>
      </c>
      <c r="L133" s="557">
        <v>0.18</v>
      </c>
      <c r="M133" s="208">
        <v>0.32</v>
      </c>
      <c r="N133" s="558">
        <f>AVERAGE(H133:M133)</f>
        <v>0.29000000000000004</v>
      </c>
    </row>
    <row r="134" spans="6:14" ht="19">
      <c r="F134" s="655" t="s">
        <v>582</v>
      </c>
      <c r="G134" s="656"/>
      <c r="H134" s="656"/>
      <c r="I134" s="656"/>
      <c r="J134" s="656"/>
      <c r="K134" s="656"/>
      <c r="L134" s="656"/>
      <c r="M134" s="656"/>
      <c r="N134" s="657"/>
    </row>
    <row r="135" spans="6:14" ht="19">
      <c r="F135" s="554" t="s">
        <v>583</v>
      </c>
      <c r="G135" s="557">
        <v>3.26</v>
      </c>
      <c r="H135" s="557">
        <v>-2.69</v>
      </c>
      <c r="I135" s="557">
        <v>-4.63</v>
      </c>
      <c r="J135" s="557">
        <v>11.17</v>
      </c>
      <c r="K135" s="557">
        <v>1.8</v>
      </c>
      <c r="L135" s="557">
        <v>5.19</v>
      </c>
      <c r="M135" s="208">
        <v>-9.65</v>
      </c>
      <c r="N135" s="558">
        <f>AVERAGE(H135:M135)</f>
        <v>0.19833333333333325</v>
      </c>
    </row>
    <row r="136" spans="6:14" ht="19">
      <c r="F136" s="554" t="s">
        <v>584</v>
      </c>
      <c r="G136" s="557">
        <v>5.07</v>
      </c>
      <c r="H136" s="557">
        <v>-3.87</v>
      </c>
      <c r="I136" s="557">
        <v>-10.06</v>
      </c>
      <c r="J136" s="557">
        <v>11.26</v>
      </c>
      <c r="K136" s="557">
        <v>2.96</v>
      </c>
      <c r="L136" s="557">
        <v>7.43</v>
      </c>
      <c r="M136" s="208">
        <v>-17.13</v>
      </c>
      <c r="N136" s="558">
        <f>AVERAGE(H136:M136)</f>
        <v>-1.5683333333333334</v>
      </c>
    </row>
    <row r="137" spans="6:14" ht="19">
      <c r="F137" s="554" t="s">
        <v>585</v>
      </c>
      <c r="G137" s="557"/>
      <c r="H137" s="557">
        <v>6.18</v>
      </c>
      <c r="I137" s="557">
        <v>1.47</v>
      </c>
      <c r="J137" s="557"/>
      <c r="K137" s="557"/>
      <c r="L137" s="557"/>
      <c r="M137" s="208">
        <v>-10.68</v>
      </c>
      <c r="N137" s="558"/>
    </row>
    <row r="138" spans="6:14" ht="19">
      <c r="F138" s="554" t="s">
        <v>586</v>
      </c>
      <c r="G138" s="557">
        <v>1.67</v>
      </c>
      <c r="H138" s="557">
        <v>-1.7</v>
      </c>
      <c r="I138" s="557">
        <v>-2.11</v>
      </c>
      <c r="J138" s="557">
        <v>7.31</v>
      </c>
      <c r="K138" s="557">
        <v>1.52</v>
      </c>
      <c r="L138" s="557">
        <v>2.7</v>
      </c>
      <c r="M138" s="208">
        <v>-5.91</v>
      </c>
      <c r="N138" s="558">
        <f>AVERAGE(H138:M138)</f>
        <v>0.30166666666666658</v>
      </c>
    </row>
  </sheetData>
  <mergeCells count="35">
    <mergeCell ref="F2:R3"/>
    <mergeCell ref="G34:J34"/>
    <mergeCell ref="G38:J38"/>
    <mergeCell ref="G5:R6"/>
    <mergeCell ref="G52:Q53"/>
    <mergeCell ref="B15:D15"/>
    <mergeCell ref="B16:D16"/>
    <mergeCell ref="N121:N125"/>
    <mergeCell ref="J122:L122"/>
    <mergeCell ref="H122:I122"/>
    <mergeCell ref="F121:M121"/>
    <mergeCell ref="F123:M123"/>
    <mergeCell ref="F125:M125"/>
    <mergeCell ref="G108:J108"/>
    <mergeCell ref="G80:J80"/>
    <mergeCell ref="G85:J85"/>
    <mergeCell ref="G103:J103"/>
    <mergeCell ref="L97:M97"/>
    <mergeCell ref="L98:M98"/>
    <mergeCell ref="T5:V11"/>
    <mergeCell ref="F131:N131"/>
    <mergeCell ref="F129:N129"/>
    <mergeCell ref="F134:N134"/>
    <mergeCell ref="B3:D3"/>
    <mergeCell ref="B4:D4"/>
    <mergeCell ref="B5:D5"/>
    <mergeCell ref="B6:D6"/>
    <mergeCell ref="B7:D7"/>
    <mergeCell ref="B8:D8"/>
    <mergeCell ref="B9:D9"/>
    <mergeCell ref="B10:D10"/>
    <mergeCell ref="B11:D11"/>
    <mergeCell ref="B12:D12"/>
    <mergeCell ref="B13:D13"/>
    <mergeCell ref="B14:D14"/>
  </mergeCells>
  <hyperlinks>
    <hyperlink ref="B9:D9" location="'Forecasted IS'!A1" display="Forecasted IS" xr:uid="{17AC51F5-2365-48DE-BD6F-87320861F51F}"/>
    <hyperlink ref="B4:D4" location="'Income Statement'!A1" display="Income Statement" xr:uid="{06C69620-2AF6-41B1-A58E-EA2ECE0F9CFC}"/>
    <hyperlink ref="B6:D6" location="'Market data'!A1" display="Market Data" xr:uid="{053811FB-FAC0-4973-831B-A49DF9BE9E8B}"/>
    <hyperlink ref="B5:D5" location="'Key stats'!A1" display="Key Stat" xr:uid="{BFCE963C-5DB5-4E30-8702-920EF1E0B073}"/>
    <hyperlink ref="B8:D8" location="'Cash Flow'!A1" display="Cash Flow" xr:uid="{358D2848-5008-496F-891F-8C9F85456851}"/>
    <hyperlink ref="B13:D13" location="FCF!A1" display="FCF" xr:uid="{BED04A73-19A6-4388-BE23-1B284A89458C}"/>
    <hyperlink ref="B11:D11" location="WACC!A1" display="WACC" xr:uid="{B7969433-7CA5-444C-993F-343688CE6D18}"/>
    <hyperlink ref="B7:D7" location="Segments!A1" display="Segments" xr:uid="{77941035-B82F-4AE5-8DF0-2D4E459DEF11}"/>
    <hyperlink ref="B12:D12" location="TV!A1" display="TV" xr:uid="{4B73077D-8530-4C1F-A560-692BB2A29EB4}"/>
    <hyperlink ref="B14:D14" location="'sensitivity analysis'!A1" display="Sensitivity analysis" xr:uid="{7CDEDDC4-6939-480E-B136-ADB8D1131654}"/>
    <hyperlink ref="B15:D15" location="Comparables!A1" display="Comparables" xr:uid="{FFD3171C-9D73-49F3-BD24-27936D098FD1}"/>
    <hyperlink ref="B16:D16" location="Project!A1" display="Project" xr:uid="{5EFA0ABE-6C01-4449-A27D-63E8AAE132BB}"/>
    <hyperlink ref="B3:D3" location="'Balance sheet'!A1" display="Balance Sheet" xr:uid="{6AF204CE-6232-433A-976B-271A1BBA694F}"/>
    <hyperlink ref="B10:D10" location="'Forecasted BS'!A1" display="Forecasted BS" xr:uid="{7C753675-E736-4FA1-A82B-B5DA5686F93C}"/>
    <hyperlink ref="U35" r:id="rId1" xr:uid="{C6F76496-C451-4965-B454-4FF9F1AB9BDB}"/>
    <hyperlink ref="U36" r:id="rId2" xr:uid="{7B0A255E-BE0A-4834-A54F-705CA2DBD951}"/>
    <hyperlink ref="U37" r:id="rId3" xr:uid="{92A32F8D-5534-4C83-9B93-D8BDFA0019CC}"/>
    <hyperlink ref="U38" r:id="rId4" xr:uid="{A1E01F0F-AE5C-488E-AA81-3168CE0D883D}"/>
    <hyperlink ref="U39" r:id="rId5" xr:uid="{F387C57C-8A36-4732-B390-CB139055B169}"/>
  </hyperlinks>
  <pageMargins left="0.7" right="0.7" top="0.75" bottom="0.75" header="0.3" footer="0.3"/>
  <drawing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80581-EFD2-174C-964C-5856511E05D6}">
  <sheetPr>
    <tabColor theme="5" tint="-0.249977111117893"/>
  </sheetPr>
  <dimension ref="B1:U22"/>
  <sheetViews>
    <sheetView topLeftCell="F1" zoomScale="140" zoomScaleNormal="317" workbookViewId="0">
      <selection activeCell="I5" sqref="I5"/>
    </sheetView>
  </sheetViews>
  <sheetFormatPr baseColWidth="10" defaultColWidth="10.90625" defaultRowHeight="15.5"/>
  <cols>
    <col min="1" max="5" width="10.90625" style="269"/>
    <col min="6" max="6" width="56.54296875" style="269" customWidth="1"/>
    <col min="7" max="7" width="45" style="269" customWidth="1"/>
    <col min="8" max="8" width="10.90625" style="269"/>
    <col min="9" max="9" width="13.90625" style="269" customWidth="1"/>
    <col min="10" max="10" width="14" style="269" customWidth="1"/>
    <col min="11" max="11" width="10.90625" style="269"/>
    <col min="12" max="12" width="25.453125" style="269" customWidth="1"/>
    <col min="13" max="13" width="10.90625" style="269"/>
    <col min="14" max="14" width="14.08984375" style="269" customWidth="1"/>
    <col min="15" max="15" width="14" style="269" customWidth="1"/>
    <col min="16" max="16" width="16.453125" style="269" customWidth="1"/>
    <col min="17" max="17" width="14.6328125" style="269" customWidth="1"/>
    <col min="18" max="18" width="15" style="269" customWidth="1"/>
    <col min="19" max="19" width="47.08984375" style="269" customWidth="1"/>
    <col min="20" max="20" width="27.08984375" style="269" customWidth="1"/>
    <col min="21" max="16384" width="10.90625" style="269"/>
  </cols>
  <sheetData>
    <row r="1" spans="2:21" ht="32.15" customHeight="1" thickBot="1">
      <c r="F1" s="269" t="s">
        <v>587</v>
      </c>
      <c r="I1" s="615" t="s">
        <v>588</v>
      </c>
      <c r="J1" s="616"/>
      <c r="K1" s="616"/>
      <c r="L1" s="617"/>
    </row>
    <row r="2" spans="2:21">
      <c r="B2" s="125"/>
      <c r="C2" s="88" t="s">
        <v>237</v>
      </c>
      <c r="D2" s="126"/>
      <c r="F2" s="285" t="s">
        <v>589</v>
      </c>
      <c r="G2" s="308">
        <f>(3849+3807+4476+3389+1171)/5</f>
        <v>3338.4</v>
      </c>
      <c r="I2" s="304">
        <f>255*18</f>
        <v>4590</v>
      </c>
      <c r="J2" s="296"/>
      <c r="K2" s="296"/>
      <c r="L2" s="303"/>
      <c r="O2" s="592" t="s">
        <v>590</v>
      </c>
      <c r="P2" s="593"/>
      <c r="Q2" s="560"/>
      <c r="R2" s="591"/>
    </row>
    <row r="3" spans="2:21">
      <c r="B3" s="644" t="s">
        <v>21</v>
      </c>
      <c r="C3" s="645"/>
      <c r="D3" s="646"/>
      <c r="F3" s="299" t="s">
        <v>591</v>
      </c>
      <c r="G3" s="298">
        <f>(3849+3807+4476+3389+1171)/5</f>
        <v>3338.4</v>
      </c>
      <c r="I3" s="560"/>
      <c r="J3" s="560"/>
      <c r="K3" s="560"/>
      <c r="L3" s="560"/>
      <c r="O3" s="297"/>
      <c r="R3" s="588"/>
    </row>
    <row r="4" spans="2:21">
      <c r="B4" s="644" t="s">
        <v>112</v>
      </c>
      <c r="C4" s="645"/>
      <c r="D4" s="646"/>
      <c r="F4" s="299" t="s">
        <v>592</v>
      </c>
      <c r="G4" s="298">
        <f>(1957+1935+2276+1723+595)/5</f>
        <v>1697.2</v>
      </c>
      <c r="I4" s="307" t="s">
        <v>593</v>
      </c>
      <c r="J4" s="306"/>
      <c r="K4" s="306"/>
      <c r="L4" s="305"/>
      <c r="O4" s="563" t="s">
        <v>594</v>
      </c>
      <c r="P4" s="561"/>
      <c r="Q4" s="561"/>
      <c r="R4" s="562"/>
    </row>
    <row r="5" spans="2:21">
      <c r="B5" s="644" t="s">
        <v>247</v>
      </c>
      <c r="C5" s="645"/>
      <c r="D5" s="646"/>
      <c r="F5" s="299" t="s">
        <v>595</v>
      </c>
      <c r="G5" s="298">
        <f>(2174+2151+2529+1914+662)/5</f>
        <v>1886</v>
      </c>
      <c r="I5" s="297">
        <f xml:space="preserve"> 22.9*12*6102</f>
        <v>1676829.5999999996</v>
      </c>
      <c r="J5" s="296"/>
      <c r="K5" s="296"/>
      <c r="L5" s="295"/>
      <c r="O5" s="607">
        <v>2022</v>
      </c>
      <c r="P5" s="604">
        <v>2023</v>
      </c>
      <c r="Q5" s="607">
        <v>2024</v>
      </c>
      <c r="R5" s="605">
        <v>2025</v>
      </c>
    </row>
    <row r="6" spans="2:21">
      <c r="B6" s="644" t="s">
        <v>246</v>
      </c>
      <c r="C6" s="645"/>
      <c r="D6" s="646"/>
      <c r="F6" s="299" t="s">
        <v>596</v>
      </c>
      <c r="G6" s="298">
        <f>(912+902+1060+803+277)/5</f>
        <v>790.8</v>
      </c>
      <c r="I6" s="302" t="s">
        <v>597</v>
      </c>
      <c r="J6" s="301"/>
      <c r="K6" s="301"/>
      <c r="L6" s="300"/>
      <c r="O6" s="612">
        <f>K17-I2</f>
        <v>7365064.7128327508</v>
      </c>
      <c r="P6" s="612">
        <f>K17</f>
        <v>7369654.7128327508</v>
      </c>
      <c r="Q6" s="613">
        <f>P6</f>
        <v>7369654.7128327508</v>
      </c>
      <c r="R6" s="614">
        <f>Q6</f>
        <v>7369654.7128327508</v>
      </c>
    </row>
    <row r="7" spans="2:21">
      <c r="B7" s="644" t="s">
        <v>252</v>
      </c>
      <c r="C7" s="645"/>
      <c r="D7" s="646"/>
      <c r="F7" s="299" t="s">
        <v>598</v>
      </c>
      <c r="G7" s="298">
        <f>(3398+3361+3952+2992+1034)/5</f>
        <v>2947.4</v>
      </c>
      <c r="I7" s="297">
        <f>118.8*6102</f>
        <v>724917.6</v>
      </c>
      <c r="J7" s="296"/>
      <c r="K7" s="296"/>
      <c r="L7" s="295"/>
      <c r="O7" s="297"/>
      <c r="R7" s="588"/>
    </row>
    <row r="8" spans="2:21" ht="23.15" customHeight="1">
      <c r="B8" s="644" t="s">
        <v>249</v>
      </c>
      <c r="C8" s="645"/>
      <c r="D8" s="646"/>
      <c r="F8" s="294" t="s">
        <v>599</v>
      </c>
      <c r="G8" s="293">
        <f>SUM(G2:G7)/6</f>
        <v>2333.0333333333333</v>
      </c>
      <c r="I8" s="292" t="s">
        <v>600</v>
      </c>
      <c r="J8" s="291"/>
      <c r="K8" s="291"/>
      <c r="L8" s="290"/>
      <c r="O8" s="589" t="s">
        <v>479</v>
      </c>
      <c r="P8" s="590"/>
      <c r="Q8" s="582">
        <f>WACC!G18</f>
        <v>7.195418812932558E-2</v>
      </c>
      <c r="R8" s="588"/>
    </row>
    <row r="9" spans="2:21">
      <c r="B9" s="644" t="s">
        <v>242</v>
      </c>
      <c r="C9" s="645"/>
      <c r="D9" s="646"/>
      <c r="I9" s="282">
        <f>I5+I7</f>
        <v>2401747.1999999997</v>
      </c>
      <c r="J9" s="281"/>
      <c r="K9" s="281"/>
      <c r="L9" s="280"/>
      <c r="O9" s="586">
        <v>2022</v>
      </c>
      <c r="P9" s="561" t="s">
        <v>601</v>
      </c>
      <c r="Q9" s="583">
        <f>(1+Q8)^2</f>
        <v>1.1490857814480013</v>
      </c>
      <c r="R9" s="588"/>
    </row>
    <row r="10" spans="2:21">
      <c r="B10" s="644" t="s">
        <v>239</v>
      </c>
      <c r="C10" s="645"/>
      <c r="D10" s="646"/>
      <c r="F10" s="289" t="s">
        <v>602</v>
      </c>
      <c r="G10" s="288">
        <v>34.125</v>
      </c>
      <c r="O10" s="587">
        <v>2023</v>
      </c>
      <c r="P10" s="296" t="s">
        <v>603</v>
      </c>
      <c r="Q10" s="584">
        <f>(1+Q8)^3</f>
        <v>1.2317673159430438</v>
      </c>
      <c r="R10" s="588"/>
    </row>
    <row r="11" spans="2:21">
      <c r="B11" s="644" t="s">
        <v>251</v>
      </c>
      <c r="C11" s="645"/>
      <c r="D11" s="646"/>
      <c r="F11" s="287" t="s">
        <v>604</v>
      </c>
      <c r="G11" s="286">
        <f>G8*G10</f>
        <v>79614.762499999997</v>
      </c>
      <c r="O11" s="587">
        <v>2024</v>
      </c>
      <c r="P11" s="296" t="s">
        <v>605</v>
      </c>
      <c r="Q11" s="584">
        <f>(1+Q8)^4</f>
        <v>1.320398133125964</v>
      </c>
      <c r="R11" s="588"/>
    </row>
    <row r="12" spans="2:21">
      <c r="B12" s="644" t="s">
        <v>254</v>
      </c>
      <c r="C12" s="645"/>
      <c r="D12" s="646"/>
      <c r="O12" s="587">
        <v>2025</v>
      </c>
      <c r="P12" s="281" t="s">
        <v>606</v>
      </c>
      <c r="Q12" s="585">
        <f>(1+Q8)^5</f>
        <v>1.4154063088025197</v>
      </c>
      <c r="R12" s="588"/>
      <c r="T12" s="620" t="s">
        <v>607</v>
      </c>
      <c r="U12" s="619">
        <f>'TV and stock price'!G16 +(P17/1000000)</f>
        <v>14872.634314448136</v>
      </c>
    </row>
    <row r="13" spans="2:21">
      <c r="B13" s="644" t="s">
        <v>350</v>
      </c>
      <c r="C13" s="645"/>
      <c r="D13" s="646"/>
      <c r="I13" s="285" t="s">
        <v>608</v>
      </c>
      <c r="J13" s="284"/>
      <c r="K13" s="284"/>
      <c r="L13" s="624"/>
      <c r="M13" s="626"/>
      <c r="N13" s="588"/>
      <c r="O13" s="296"/>
      <c r="P13" s="296"/>
      <c r="Q13" s="594" t="s">
        <v>609</v>
      </c>
      <c r="R13" s="608"/>
      <c r="T13" s="621" t="s">
        <v>610</v>
      </c>
      <c r="U13" s="622">
        <f>(U12 -'Balance sheet'!G81+'Forecasted BS'!L23)/'Balance sheet'!G76</f>
        <v>55.922285237334258</v>
      </c>
    </row>
    <row r="14" spans="2:21">
      <c r="B14" s="644" t="s">
        <v>255</v>
      </c>
      <c r="C14" s="645"/>
      <c r="D14" s="646"/>
      <c r="F14" s="283" t="s">
        <v>611</v>
      </c>
      <c r="G14" s="271">
        <v>0.1</v>
      </c>
      <c r="I14" s="282">
        <f xml:space="preserve"> 1600*6102</f>
        <v>9763200</v>
      </c>
      <c r="J14" s="281"/>
      <c r="K14" s="281"/>
      <c r="L14" s="281"/>
      <c r="M14" s="625"/>
      <c r="N14" s="588"/>
      <c r="O14" s="296"/>
      <c r="P14" s="296"/>
      <c r="Q14" s="595">
        <f>(O6/Q9)+(P6/Q10)+(Q6/Q11)+(R6/Q12)</f>
        <v>23180621.833492722</v>
      </c>
      <c r="R14" s="609"/>
    </row>
    <row r="15" spans="2:21">
      <c r="B15" s="644" t="s">
        <v>352</v>
      </c>
      <c r="C15" s="645"/>
      <c r="D15" s="646"/>
      <c r="M15" s="623"/>
      <c r="N15" s="588"/>
      <c r="O15" s="296"/>
      <c r="P15" s="296"/>
      <c r="Q15" s="296"/>
      <c r="R15" s="295"/>
    </row>
    <row r="16" spans="2:21" ht="16" thickBot="1">
      <c r="B16" s="638" t="s">
        <v>353</v>
      </c>
      <c r="C16" s="639"/>
      <c r="D16" s="640"/>
      <c r="F16" s="279" t="s">
        <v>612</v>
      </c>
      <c r="G16" s="271">
        <f>(2.9+5.4+3.9+1.9+1)/5</f>
        <v>3.0200000000000005</v>
      </c>
      <c r="I16" s="278" t="s">
        <v>613</v>
      </c>
      <c r="J16" s="276"/>
      <c r="K16" s="277" t="s">
        <v>614</v>
      </c>
      <c r="L16" s="276"/>
      <c r="N16" s="588"/>
      <c r="O16" s="296"/>
      <c r="P16" s="296"/>
      <c r="Q16" s="296"/>
      <c r="R16" s="295"/>
    </row>
    <row r="17" spans="6:19">
      <c r="I17" s="275">
        <f>G19+I14</f>
        <v>9771401.91283275</v>
      </c>
      <c r="J17" s="273"/>
      <c r="K17" s="274">
        <f>I17-I9</f>
        <v>7369654.7128327508</v>
      </c>
      <c r="L17" s="273"/>
      <c r="O17" s="610" t="s">
        <v>615</v>
      </c>
      <c r="P17" s="611">
        <f>Q14</f>
        <v>23180621.833492722</v>
      </c>
      <c r="Q17" s="281"/>
      <c r="R17" s="280"/>
    </row>
    <row r="18" spans="6:19" ht="66" customHeight="1">
      <c r="S18" s="606" t="s">
        <v>616</v>
      </c>
    </row>
    <row r="19" spans="6:19">
      <c r="F19" s="272" t="s">
        <v>617</v>
      </c>
      <c r="G19" s="271">
        <f>G11*G14*1.0302</f>
        <v>8201.9128327500002</v>
      </c>
    </row>
    <row r="21" spans="6:19">
      <c r="K21" s="270"/>
    </row>
    <row r="22" spans="6:19" ht="13.5" customHeight="1"/>
  </sheetData>
  <mergeCells count="14">
    <mergeCell ref="B8:D8"/>
    <mergeCell ref="B3:D3"/>
    <mergeCell ref="B4:D4"/>
    <mergeCell ref="B5:D5"/>
    <mergeCell ref="B6:D6"/>
    <mergeCell ref="B7:D7"/>
    <mergeCell ref="B15:D15"/>
    <mergeCell ref="B16:D16"/>
    <mergeCell ref="B9:D9"/>
    <mergeCell ref="B10:D10"/>
    <mergeCell ref="B11:D11"/>
    <mergeCell ref="B12:D12"/>
    <mergeCell ref="B13:D13"/>
    <mergeCell ref="B14:D14"/>
  </mergeCells>
  <hyperlinks>
    <hyperlink ref="B9:D9" location="'Forecasted IS'!A1" display="Forecasted IS" xr:uid="{BCC3C06E-ACB6-41F1-95CF-76C43E1F9895}"/>
    <hyperlink ref="B4:D4" location="'Income Statement'!A1" display="Income Statement" xr:uid="{D527147C-F31F-407F-8133-6619FB66D9B7}"/>
    <hyperlink ref="B6:D6" location="'Market data'!A1" display="Market Data" xr:uid="{B8983E91-775E-4BD3-9C11-A54AA428B9F0}"/>
    <hyperlink ref="B5:D5" location="'Key stats'!A1" display="Key Stat" xr:uid="{C498E180-000D-43A8-81B0-0D5F7DA7C45D}"/>
    <hyperlink ref="B8:D8" location="'Cash Flow'!A1" display="Cash Flow" xr:uid="{D2185325-7926-48ED-860E-C2A7506D650E}"/>
    <hyperlink ref="B13:D13" location="FCF!A1" display="FCF" xr:uid="{4707EC5C-1DAE-4B32-87C8-F0819A735C3F}"/>
    <hyperlink ref="B11:D11" location="WACC!A1" display="WACC" xr:uid="{10413DA0-FE6F-43EB-97A6-ABF8A9AE148B}"/>
    <hyperlink ref="B7:D7" location="Segments!A1" display="Segments" xr:uid="{39F43DF2-85A0-475B-A0AF-CAD6FBF8F830}"/>
    <hyperlink ref="B12:D12" location="TV!A1" display="TV" xr:uid="{FD1BE562-4D48-4AD9-8D2C-DADCAC4701D7}"/>
    <hyperlink ref="B14:D14" location="'sensitivity analysis'!A1" display="Sensitivity analysis" xr:uid="{E3E1950C-B4A5-466D-B4D9-2085E2E216E9}"/>
    <hyperlink ref="B15:D15" location="Comparables!A1" display="Comparables" xr:uid="{1336528D-0542-4219-8EC7-E1D1A76AA0F5}"/>
    <hyperlink ref="B16:D16" location="Project!A1" display="Project" xr:uid="{87AF705C-17C3-4075-95D7-DC6C8B9ACA87}"/>
    <hyperlink ref="B3:D3" location="'Balance sheet'!A1" display="Balance Sheet" xr:uid="{DB044BC8-4B11-453F-8673-5F998DFD2880}"/>
    <hyperlink ref="B10:D10" location="'Forecasted BS'!A1" display="Forecasted BS" xr:uid="{A8377FA1-BDB9-48C3-BDBF-D6B84AE293E5}"/>
  </hyperlink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492C0-A07D-4EE1-88DF-B9D07265AA90}">
  <sheetPr>
    <tabColor theme="0" tint="-0.249977111117893"/>
  </sheetPr>
  <dimension ref="A5:IO113"/>
  <sheetViews>
    <sheetView topLeftCell="A47" zoomScale="85" zoomScaleNormal="85" workbookViewId="0">
      <selection activeCell="F63" sqref="F63"/>
    </sheetView>
  </sheetViews>
  <sheetFormatPr baseColWidth="10" defaultColWidth="8.54296875" defaultRowHeight="10"/>
  <cols>
    <col min="1" max="1" width="45.90625" style="2" customWidth="1"/>
    <col min="2" max="13" width="14.90625" style="2" customWidth="1"/>
    <col min="14" max="256" width="9.08984375" style="2"/>
    <col min="257" max="257" width="45.90625" style="2" customWidth="1"/>
    <col min="258" max="269" width="14.90625" style="2" customWidth="1"/>
    <col min="270" max="512" width="9.08984375" style="2"/>
    <col min="513" max="513" width="45.90625" style="2" customWidth="1"/>
    <col min="514" max="525" width="14.90625" style="2" customWidth="1"/>
    <col min="526" max="768" width="9.08984375" style="2"/>
    <col min="769" max="769" width="45.90625" style="2" customWidth="1"/>
    <col min="770" max="781" width="14.90625" style="2" customWidth="1"/>
    <col min="782" max="1024" width="9.08984375" style="2"/>
    <col min="1025" max="1025" width="45.90625" style="2" customWidth="1"/>
    <col min="1026" max="1037" width="14.90625" style="2" customWidth="1"/>
    <col min="1038" max="1280" width="9.08984375" style="2"/>
    <col min="1281" max="1281" width="45.90625" style="2" customWidth="1"/>
    <col min="1282" max="1293" width="14.90625" style="2" customWidth="1"/>
    <col min="1294" max="1536" width="9.08984375" style="2"/>
    <col min="1537" max="1537" width="45.90625" style="2" customWidth="1"/>
    <col min="1538" max="1549" width="14.90625" style="2" customWidth="1"/>
    <col min="1550" max="1792" width="9.08984375" style="2"/>
    <col min="1793" max="1793" width="45.90625" style="2" customWidth="1"/>
    <col min="1794" max="1805" width="14.90625" style="2" customWidth="1"/>
    <col min="1806" max="2048" width="9.08984375" style="2"/>
    <col min="2049" max="2049" width="45.90625" style="2" customWidth="1"/>
    <col min="2050" max="2061" width="14.90625" style="2" customWidth="1"/>
    <col min="2062" max="2304" width="9.08984375" style="2"/>
    <col min="2305" max="2305" width="45.90625" style="2" customWidth="1"/>
    <col min="2306" max="2317" width="14.90625" style="2" customWidth="1"/>
    <col min="2318" max="2560" width="9.08984375" style="2"/>
    <col min="2561" max="2561" width="45.90625" style="2" customWidth="1"/>
    <col min="2562" max="2573" width="14.90625" style="2" customWidth="1"/>
    <col min="2574" max="2816" width="9.08984375" style="2"/>
    <col min="2817" max="2817" width="45.90625" style="2" customWidth="1"/>
    <col min="2818" max="2829" width="14.90625" style="2" customWidth="1"/>
    <col min="2830" max="3072" width="9.08984375" style="2"/>
    <col min="3073" max="3073" width="45.90625" style="2" customWidth="1"/>
    <col min="3074" max="3085" width="14.90625" style="2" customWidth="1"/>
    <col min="3086" max="3328" width="9.08984375" style="2"/>
    <col min="3329" max="3329" width="45.90625" style="2" customWidth="1"/>
    <col min="3330" max="3341" width="14.90625" style="2" customWidth="1"/>
    <col min="3342" max="3584" width="9.08984375" style="2"/>
    <col min="3585" max="3585" width="45.90625" style="2" customWidth="1"/>
    <col min="3586" max="3597" width="14.90625" style="2" customWidth="1"/>
    <col min="3598" max="3840" width="9.08984375" style="2"/>
    <col min="3841" max="3841" width="45.90625" style="2" customWidth="1"/>
    <col min="3842" max="3853" width="14.90625" style="2" customWidth="1"/>
    <col min="3854" max="4096" width="9.08984375" style="2"/>
    <col min="4097" max="4097" width="45.90625" style="2" customWidth="1"/>
    <col min="4098" max="4109" width="14.90625" style="2" customWidth="1"/>
    <col min="4110" max="4352" width="9.08984375" style="2"/>
    <col min="4353" max="4353" width="45.90625" style="2" customWidth="1"/>
    <col min="4354" max="4365" width="14.90625" style="2" customWidth="1"/>
    <col min="4366" max="4608" width="9.08984375" style="2"/>
    <col min="4609" max="4609" width="45.90625" style="2" customWidth="1"/>
    <col min="4610" max="4621" width="14.90625" style="2" customWidth="1"/>
    <col min="4622" max="4864" width="9.08984375" style="2"/>
    <col min="4865" max="4865" width="45.90625" style="2" customWidth="1"/>
    <col min="4866" max="4877" width="14.90625" style="2" customWidth="1"/>
    <col min="4878" max="5120" width="9.08984375" style="2"/>
    <col min="5121" max="5121" width="45.90625" style="2" customWidth="1"/>
    <col min="5122" max="5133" width="14.90625" style="2" customWidth="1"/>
    <col min="5134" max="5376" width="9.08984375" style="2"/>
    <col min="5377" max="5377" width="45.90625" style="2" customWidth="1"/>
    <col min="5378" max="5389" width="14.90625" style="2" customWidth="1"/>
    <col min="5390" max="5632" width="9.08984375" style="2"/>
    <col min="5633" max="5633" width="45.90625" style="2" customWidth="1"/>
    <col min="5634" max="5645" width="14.90625" style="2" customWidth="1"/>
    <col min="5646" max="5888" width="9.08984375" style="2"/>
    <col min="5889" max="5889" width="45.90625" style="2" customWidth="1"/>
    <col min="5890" max="5901" width="14.90625" style="2" customWidth="1"/>
    <col min="5902" max="6144" width="9.08984375" style="2"/>
    <col min="6145" max="6145" width="45.90625" style="2" customWidth="1"/>
    <col min="6146" max="6157" width="14.90625" style="2" customWidth="1"/>
    <col min="6158" max="6400" width="9.08984375" style="2"/>
    <col min="6401" max="6401" width="45.90625" style="2" customWidth="1"/>
    <col min="6402" max="6413" width="14.90625" style="2" customWidth="1"/>
    <col min="6414" max="6656" width="9.08984375" style="2"/>
    <col min="6657" max="6657" width="45.90625" style="2" customWidth="1"/>
    <col min="6658" max="6669" width="14.90625" style="2" customWidth="1"/>
    <col min="6670" max="6912" width="9.08984375" style="2"/>
    <col min="6913" max="6913" width="45.90625" style="2" customWidth="1"/>
    <col min="6914" max="6925" width="14.90625" style="2" customWidth="1"/>
    <col min="6926" max="7168" width="9.08984375" style="2"/>
    <col min="7169" max="7169" width="45.90625" style="2" customWidth="1"/>
    <col min="7170" max="7181" width="14.90625" style="2" customWidth="1"/>
    <col min="7182" max="7424" width="9.08984375" style="2"/>
    <col min="7425" max="7425" width="45.90625" style="2" customWidth="1"/>
    <col min="7426" max="7437" width="14.90625" style="2" customWidth="1"/>
    <col min="7438" max="7680" width="9.08984375" style="2"/>
    <col min="7681" max="7681" width="45.90625" style="2" customWidth="1"/>
    <col min="7682" max="7693" width="14.90625" style="2" customWidth="1"/>
    <col min="7694" max="7936" width="9.08984375" style="2"/>
    <col min="7937" max="7937" width="45.90625" style="2" customWidth="1"/>
    <col min="7938" max="7949" width="14.90625" style="2" customWidth="1"/>
    <col min="7950" max="8192" width="9.08984375" style="2"/>
    <col min="8193" max="8193" width="45.90625" style="2" customWidth="1"/>
    <col min="8194" max="8205" width="14.90625" style="2" customWidth="1"/>
    <col min="8206" max="8448" width="9.08984375" style="2"/>
    <col min="8449" max="8449" width="45.90625" style="2" customWidth="1"/>
    <col min="8450" max="8461" width="14.90625" style="2" customWidth="1"/>
    <col min="8462" max="8704" width="9.08984375" style="2"/>
    <col min="8705" max="8705" width="45.90625" style="2" customWidth="1"/>
    <col min="8706" max="8717" width="14.90625" style="2" customWidth="1"/>
    <col min="8718" max="8960" width="9.08984375" style="2"/>
    <col min="8961" max="8961" width="45.90625" style="2" customWidth="1"/>
    <col min="8962" max="8973" width="14.90625" style="2" customWidth="1"/>
    <col min="8974" max="9216" width="9.08984375" style="2"/>
    <col min="9217" max="9217" width="45.90625" style="2" customWidth="1"/>
    <col min="9218" max="9229" width="14.90625" style="2" customWidth="1"/>
    <col min="9230" max="9472" width="9.08984375" style="2"/>
    <col min="9473" max="9473" width="45.90625" style="2" customWidth="1"/>
    <col min="9474" max="9485" width="14.90625" style="2" customWidth="1"/>
    <col min="9486" max="9728" width="9.08984375" style="2"/>
    <col min="9729" max="9729" width="45.90625" style="2" customWidth="1"/>
    <col min="9730" max="9741" width="14.90625" style="2" customWidth="1"/>
    <col min="9742" max="9984" width="9.08984375" style="2"/>
    <col min="9985" max="9985" width="45.90625" style="2" customWidth="1"/>
    <col min="9986" max="9997" width="14.90625" style="2" customWidth="1"/>
    <col min="9998" max="10240" width="9.08984375" style="2"/>
    <col min="10241" max="10241" width="45.90625" style="2" customWidth="1"/>
    <col min="10242" max="10253" width="14.90625" style="2" customWidth="1"/>
    <col min="10254" max="10496" width="9.08984375" style="2"/>
    <col min="10497" max="10497" width="45.90625" style="2" customWidth="1"/>
    <col min="10498" max="10509" width="14.90625" style="2" customWidth="1"/>
    <col min="10510" max="10752" width="9.08984375" style="2"/>
    <col min="10753" max="10753" width="45.90625" style="2" customWidth="1"/>
    <col min="10754" max="10765" width="14.90625" style="2" customWidth="1"/>
    <col min="10766" max="11008" width="9.08984375" style="2"/>
    <col min="11009" max="11009" width="45.90625" style="2" customWidth="1"/>
    <col min="11010" max="11021" width="14.90625" style="2" customWidth="1"/>
    <col min="11022" max="11264" width="9.08984375" style="2"/>
    <col min="11265" max="11265" width="45.90625" style="2" customWidth="1"/>
    <col min="11266" max="11277" width="14.90625" style="2" customWidth="1"/>
    <col min="11278" max="11520" width="9.08984375" style="2"/>
    <col min="11521" max="11521" width="45.90625" style="2" customWidth="1"/>
    <col min="11522" max="11533" width="14.90625" style="2" customWidth="1"/>
    <col min="11534" max="11776" width="9.08984375" style="2"/>
    <col min="11777" max="11777" width="45.90625" style="2" customWidth="1"/>
    <col min="11778" max="11789" width="14.90625" style="2" customWidth="1"/>
    <col min="11790" max="12032" width="9.08984375" style="2"/>
    <col min="12033" max="12033" width="45.90625" style="2" customWidth="1"/>
    <col min="12034" max="12045" width="14.90625" style="2" customWidth="1"/>
    <col min="12046" max="12288" width="9.08984375" style="2"/>
    <col min="12289" max="12289" width="45.90625" style="2" customWidth="1"/>
    <col min="12290" max="12301" width="14.90625" style="2" customWidth="1"/>
    <col min="12302" max="12544" width="9.08984375" style="2"/>
    <col min="12545" max="12545" width="45.90625" style="2" customWidth="1"/>
    <col min="12546" max="12557" width="14.90625" style="2" customWidth="1"/>
    <col min="12558" max="12800" width="9.08984375" style="2"/>
    <col min="12801" max="12801" width="45.90625" style="2" customWidth="1"/>
    <col min="12802" max="12813" width="14.90625" style="2" customWidth="1"/>
    <col min="12814" max="13056" width="9.08984375" style="2"/>
    <col min="13057" max="13057" width="45.90625" style="2" customWidth="1"/>
    <col min="13058" max="13069" width="14.90625" style="2" customWidth="1"/>
    <col min="13070" max="13312" width="9.08984375" style="2"/>
    <col min="13313" max="13313" width="45.90625" style="2" customWidth="1"/>
    <col min="13314" max="13325" width="14.90625" style="2" customWidth="1"/>
    <col min="13326" max="13568" width="9.08984375" style="2"/>
    <col min="13569" max="13569" width="45.90625" style="2" customWidth="1"/>
    <col min="13570" max="13581" width="14.90625" style="2" customWidth="1"/>
    <col min="13582" max="13824" width="9.08984375" style="2"/>
    <col min="13825" max="13825" width="45.90625" style="2" customWidth="1"/>
    <col min="13826" max="13837" width="14.90625" style="2" customWidth="1"/>
    <col min="13838" max="14080" width="9.08984375" style="2"/>
    <col min="14081" max="14081" width="45.90625" style="2" customWidth="1"/>
    <col min="14082" max="14093" width="14.90625" style="2" customWidth="1"/>
    <col min="14094" max="14336" width="9.08984375" style="2"/>
    <col min="14337" max="14337" width="45.90625" style="2" customWidth="1"/>
    <col min="14338" max="14349" width="14.90625" style="2" customWidth="1"/>
    <col min="14350" max="14592" width="9.08984375" style="2"/>
    <col min="14593" max="14593" width="45.90625" style="2" customWidth="1"/>
    <col min="14594" max="14605" width="14.90625" style="2" customWidth="1"/>
    <col min="14606" max="14848" width="9.08984375" style="2"/>
    <col min="14849" max="14849" width="45.90625" style="2" customWidth="1"/>
    <col min="14850" max="14861" width="14.90625" style="2" customWidth="1"/>
    <col min="14862" max="15104" width="9.08984375" style="2"/>
    <col min="15105" max="15105" width="45.90625" style="2" customWidth="1"/>
    <col min="15106" max="15117" width="14.90625" style="2" customWidth="1"/>
    <col min="15118" max="15360" width="9.08984375" style="2"/>
    <col min="15361" max="15361" width="45.90625" style="2" customWidth="1"/>
    <col min="15362" max="15373" width="14.90625" style="2" customWidth="1"/>
    <col min="15374" max="15616" width="9.08984375" style="2"/>
    <col min="15617" max="15617" width="45.90625" style="2" customWidth="1"/>
    <col min="15618" max="15629" width="14.90625" style="2" customWidth="1"/>
    <col min="15630" max="15872" width="9.08984375" style="2"/>
    <col min="15873" max="15873" width="45.90625" style="2" customWidth="1"/>
    <col min="15874" max="15885" width="14.90625" style="2" customWidth="1"/>
    <col min="15886" max="16128" width="9.08984375" style="2"/>
    <col min="16129" max="16129" width="45.90625" style="2" customWidth="1"/>
    <col min="16130" max="16141" width="14.90625" style="2" customWidth="1"/>
    <col min="16142" max="16384" width="9.08984375" style="2"/>
  </cols>
  <sheetData>
    <row r="5" spans="1:249" ht="17">
      <c r="A5" s="1" t="s">
        <v>111</v>
      </c>
    </row>
    <row r="7" spans="1:249" ht="10.5">
      <c r="A7" s="3" t="s">
        <v>1</v>
      </c>
      <c r="B7" s="4" t="s">
        <v>2</v>
      </c>
      <c r="C7" s="2" t="s">
        <v>3</v>
      </c>
      <c r="D7" s="5" t="s">
        <v>4</v>
      </c>
      <c r="E7" s="4" t="s">
        <v>5</v>
      </c>
      <c r="F7" s="2" t="s">
        <v>6</v>
      </c>
    </row>
    <row r="8" spans="1:249" ht="10.5">
      <c r="A8" s="5"/>
      <c r="B8" s="4" t="s">
        <v>7</v>
      </c>
      <c r="C8" s="2" t="s">
        <v>8</v>
      </c>
      <c r="D8" s="5" t="s">
        <v>4</v>
      </c>
      <c r="E8" s="4" t="s">
        <v>9</v>
      </c>
      <c r="F8" s="2" t="s">
        <v>10</v>
      </c>
    </row>
    <row r="9" spans="1:249" ht="10.5">
      <c r="A9" s="5"/>
      <c r="B9" s="4" t="s">
        <v>11</v>
      </c>
      <c r="C9" s="2" t="s">
        <v>12</v>
      </c>
      <c r="D9" s="5" t="s">
        <v>4</v>
      </c>
      <c r="E9" s="4" t="s">
        <v>13</v>
      </c>
      <c r="F9" s="2" t="s">
        <v>14</v>
      </c>
    </row>
    <row r="10" spans="1:249" ht="10.5">
      <c r="A10" s="5"/>
      <c r="B10" s="4" t="s">
        <v>15</v>
      </c>
      <c r="C10" s="2" t="s">
        <v>16</v>
      </c>
      <c r="D10" s="5" t="s">
        <v>4</v>
      </c>
      <c r="E10" s="4" t="s">
        <v>17</v>
      </c>
      <c r="F10" s="6" t="s">
        <v>18</v>
      </c>
    </row>
    <row r="11" spans="1:249" ht="10.5">
      <c r="A11" s="5"/>
      <c r="B11" s="4" t="s">
        <v>19</v>
      </c>
      <c r="C11" s="2" t="s">
        <v>20</v>
      </c>
      <c r="D11" s="5" t="s">
        <v>4</v>
      </c>
      <c r="E11" s="26"/>
      <c r="F11" s="26"/>
    </row>
    <row r="14" spans="1:249">
      <c r="A14" s="7" t="s">
        <v>112</v>
      </c>
      <c r="B14" s="7"/>
      <c r="C14" s="7"/>
      <c r="D14" s="7"/>
      <c r="E14" s="7"/>
      <c r="F14" s="7"/>
      <c r="G14" s="7"/>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row>
    <row r="15" spans="1:249" ht="31.5">
      <c r="A15" s="9" t="s">
        <v>113</v>
      </c>
      <c r="B15" s="10" t="s">
        <v>114</v>
      </c>
      <c r="C15" s="10" t="s">
        <v>115</v>
      </c>
      <c r="D15" s="10" t="s">
        <v>116</v>
      </c>
      <c r="E15" s="10" t="s">
        <v>117</v>
      </c>
      <c r="F15" s="10" t="s">
        <v>118</v>
      </c>
      <c r="G15" s="10" t="s">
        <v>119</v>
      </c>
    </row>
    <row r="16" spans="1:249">
      <c r="A16" s="11" t="s">
        <v>24</v>
      </c>
      <c r="B16" s="12" t="s">
        <v>25</v>
      </c>
      <c r="C16" s="12" t="s">
        <v>25</v>
      </c>
      <c r="D16" s="12" t="s">
        <v>25</v>
      </c>
      <c r="E16" s="12" t="s">
        <v>25</v>
      </c>
      <c r="F16" s="12" t="s">
        <v>25</v>
      </c>
      <c r="G16" s="12" t="s">
        <v>25</v>
      </c>
    </row>
    <row r="17" spans="1:7" ht="10.5">
      <c r="A17" s="13" t="s">
        <v>105</v>
      </c>
      <c r="B17" s="5"/>
      <c r="C17" s="5"/>
      <c r="D17" s="5"/>
      <c r="E17" s="5"/>
      <c r="F17" s="5"/>
      <c r="G17" s="5"/>
    </row>
    <row r="18" spans="1:7">
      <c r="A18" s="5" t="s">
        <v>120</v>
      </c>
      <c r="B18" s="19">
        <v>9697.6849999999995</v>
      </c>
      <c r="C18" s="19">
        <v>10443.540999999999</v>
      </c>
      <c r="D18" s="19">
        <v>11947.263999999999</v>
      </c>
      <c r="E18" s="19">
        <v>13716.736999999999</v>
      </c>
      <c r="F18" s="19">
        <v>17485.080000000002</v>
      </c>
      <c r="G18" s="19">
        <v>20710.116000000002</v>
      </c>
    </row>
    <row r="19" spans="1:7">
      <c r="A19" s="5" t="s">
        <v>121</v>
      </c>
      <c r="B19" s="19" t="s">
        <v>29</v>
      </c>
      <c r="C19" s="19" t="s">
        <v>29</v>
      </c>
      <c r="D19" s="19">
        <v>9.6999999999999993</v>
      </c>
      <c r="E19" s="19">
        <v>9</v>
      </c>
      <c r="F19" s="19">
        <v>9.0030000000000001</v>
      </c>
      <c r="G19" s="19">
        <v>6.1680000000000001</v>
      </c>
    </row>
    <row r="20" spans="1:7" ht="10.5">
      <c r="A20" s="13" t="s">
        <v>122</v>
      </c>
      <c r="B20" s="27">
        <v>9697.6849999999995</v>
      </c>
      <c r="C20" s="27">
        <v>10443.540999999999</v>
      </c>
      <c r="D20" s="27">
        <v>11956.964</v>
      </c>
      <c r="E20" s="27">
        <v>13725.736999999999</v>
      </c>
      <c r="F20" s="27">
        <v>17494.082999999999</v>
      </c>
      <c r="G20" s="27">
        <v>20716.284</v>
      </c>
    </row>
    <row r="21" spans="1:7">
      <c r="A21" s="5"/>
      <c r="B21" s="5"/>
      <c r="C21" s="5"/>
      <c r="D21" s="5"/>
      <c r="E21" s="5"/>
      <c r="F21" s="5"/>
      <c r="G21" s="5"/>
    </row>
    <row r="22" spans="1:7">
      <c r="A22" s="5" t="s">
        <v>123</v>
      </c>
      <c r="B22" s="19">
        <v>8956.7240000000002</v>
      </c>
      <c r="C22" s="19">
        <v>9676.5079999999998</v>
      </c>
      <c r="D22" s="19">
        <v>11025.134</v>
      </c>
      <c r="E22" s="19">
        <v>12582.415999999999</v>
      </c>
      <c r="F22" s="19">
        <v>16415.058000000001</v>
      </c>
      <c r="G22" s="19">
        <v>19616.632000000001</v>
      </c>
    </row>
    <row r="23" spans="1:7" ht="10.5">
      <c r="A23" s="13" t="s">
        <v>124</v>
      </c>
      <c r="B23" s="27">
        <v>740.96100000000001</v>
      </c>
      <c r="C23" s="27">
        <v>767.03300000000002</v>
      </c>
      <c r="D23" s="27">
        <v>931.83</v>
      </c>
      <c r="E23" s="27">
        <v>1143.3209999999999</v>
      </c>
      <c r="F23" s="27">
        <v>1079.0250000000001</v>
      </c>
      <c r="G23" s="27">
        <v>1099.652</v>
      </c>
    </row>
    <row r="24" spans="1:7">
      <c r="A24" s="5"/>
      <c r="B24" s="5"/>
      <c r="C24" s="5"/>
      <c r="D24" s="5"/>
      <c r="E24" s="5"/>
      <c r="F24" s="5"/>
      <c r="G24" s="5"/>
    </row>
    <row r="25" spans="1:7">
      <c r="A25" s="5" t="s">
        <v>125</v>
      </c>
      <c r="B25" s="19" t="s">
        <v>29</v>
      </c>
      <c r="C25" s="19" t="s">
        <v>29</v>
      </c>
      <c r="D25" s="19" t="s">
        <v>29</v>
      </c>
      <c r="E25" s="19" t="s">
        <v>29</v>
      </c>
      <c r="F25" s="19" t="s">
        <v>29</v>
      </c>
      <c r="G25" s="19" t="s">
        <v>29</v>
      </c>
    </row>
    <row r="26" spans="1:7">
      <c r="A26" s="5" t="s">
        <v>126</v>
      </c>
      <c r="B26" s="19" t="s">
        <v>29</v>
      </c>
      <c r="C26" s="19" t="s">
        <v>29</v>
      </c>
      <c r="D26" s="19" t="s">
        <v>29</v>
      </c>
      <c r="E26" s="19" t="s">
        <v>29</v>
      </c>
      <c r="F26" s="19" t="s">
        <v>29</v>
      </c>
      <c r="G26" s="19" t="s">
        <v>29</v>
      </c>
    </row>
    <row r="27" spans="1:7">
      <c r="A27" s="5" t="s">
        <v>127</v>
      </c>
      <c r="B27" s="19">
        <v>203.55600000000001</v>
      </c>
      <c r="C27" s="19">
        <v>171.167</v>
      </c>
      <c r="D27" s="19">
        <v>200.286</v>
      </c>
      <c r="E27" s="19">
        <v>216.196</v>
      </c>
      <c r="F27" s="19">
        <v>283.96499999999997</v>
      </c>
      <c r="G27" s="19">
        <v>274.95400000000001</v>
      </c>
    </row>
    <row r="28" spans="1:7">
      <c r="A28" s="5" t="s">
        <v>128</v>
      </c>
      <c r="B28" s="19">
        <v>294.43200000000002</v>
      </c>
      <c r="C28" s="19">
        <v>319.12299999999999</v>
      </c>
      <c r="D28" s="19">
        <v>405.38900000000001</v>
      </c>
      <c r="E28" s="19">
        <v>420.267</v>
      </c>
      <c r="F28" s="19">
        <v>347.01799999999997</v>
      </c>
      <c r="G28" s="19">
        <v>404.96199999999999</v>
      </c>
    </row>
    <row r="29" spans="1:7">
      <c r="A29" s="5"/>
      <c r="B29" s="5"/>
      <c r="C29" s="5"/>
      <c r="D29" s="5"/>
      <c r="E29" s="5"/>
      <c r="F29" s="5"/>
      <c r="G29" s="5"/>
    </row>
    <row r="30" spans="1:7" ht="10.5">
      <c r="A30" s="13" t="s">
        <v>129</v>
      </c>
      <c r="B30" s="27">
        <v>497.988</v>
      </c>
      <c r="C30" s="27">
        <v>490.29</v>
      </c>
      <c r="D30" s="27">
        <v>605.67499999999995</v>
      </c>
      <c r="E30" s="27">
        <v>636.46299999999997</v>
      </c>
      <c r="F30" s="27">
        <v>630.98299999999995</v>
      </c>
      <c r="G30" s="27">
        <v>679.91600000000005</v>
      </c>
    </row>
    <row r="31" spans="1:7">
      <c r="A31" s="5"/>
      <c r="B31" s="5"/>
      <c r="C31" s="5"/>
      <c r="D31" s="5"/>
      <c r="E31" s="5"/>
      <c r="F31" s="5"/>
      <c r="G31" s="5"/>
    </row>
    <row r="32" spans="1:7" ht="10.5">
      <c r="A32" s="13" t="s">
        <v>130</v>
      </c>
      <c r="B32" s="14">
        <v>242.97300000000001</v>
      </c>
      <c r="C32" s="14">
        <v>276.74299999999999</v>
      </c>
      <c r="D32" s="14">
        <v>326.15499999999997</v>
      </c>
      <c r="E32" s="14">
        <v>506.858</v>
      </c>
      <c r="F32" s="14">
        <v>448.04199999999997</v>
      </c>
      <c r="G32" s="14">
        <v>419.73599999999999</v>
      </c>
    </row>
    <row r="33" spans="1:7">
      <c r="A33" s="5"/>
      <c r="B33" s="5"/>
      <c r="C33" s="5"/>
      <c r="D33" s="5"/>
      <c r="E33" s="5"/>
      <c r="F33" s="5"/>
      <c r="G33" s="5"/>
    </row>
    <row r="34" spans="1:7">
      <c r="A34" s="5" t="s">
        <v>131</v>
      </c>
      <c r="B34" s="19">
        <v>-8.5</v>
      </c>
      <c r="C34" s="19">
        <v>-9.9</v>
      </c>
      <c r="D34" s="19">
        <v>-23.5</v>
      </c>
      <c r="E34" s="19">
        <v>-39.1</v>
      </c>
      <c r="F34" s="19">
        <v>-45.6</v>
      </c>
      <c r="G34" s="19">
        <v>-61.7</v>
      </c>
    </row>
    <row r="35" spans="1:7">
      <c r="A35" s="5" t="s">
        <v>132</v>
      </c>
      <c r="B35" s="19">
        <v>3.6709999999999998</v>
      </c>
      <c r="C35" s="19">
        <v>3.581</v>
      </c>
      <c r="D35" s="19">
        <v>4.0570000000000004</v>
      </c>
      <c r="E35" s="19">
        <v>10.885999999999999</v>
      </c>
      <c r="F35" s="19">
        <v>5.2910000000000004</v>
      </c>
      <c r="G35" s="19">
        <v>4.51</v>
      </c>
    </row>
    <row r="36" spans="1:7" ht="10.5">
      <c r="A36" s="13" t="s">
        <v>133</v>
      </c>
      <c r="B36" s="27">
        <v>-4.8</v>
      </c>
      <c r="C36" s="27">
        <v>-6.4</v>
      </c>
      <c r="D36" s="27">
        <v>-19.5</v>
      </c>
      <c r="E36" s="27">
        <v>-28.2</v>
      </c>
      <c r="F36" s="27">
        <v>-40.299999999999997</v>
      </c>
      <c r="G36" s="27">
        <v>-57.1</v>
      </c>
    </row>
    <row r="37" spans="1:7">
      <c r="A37" s="5"/>
      <c r="B37" s="5"/>
      <c r="C37" s="5"/>
      <c r="D37" s="5"/>
      <c r="E37" s="5"/>
      <c r="F37" s="5"/>
      <c r="G37" s="5"/>
    </row>
    <row r="38" spans="1:7">
      <c r="A38" s="5" t="s">
        <v>134</v>
      </c>
      <c r="B38" s="19">
        <v>9.827</v>
      </c>
      <c r="C38" s="19">
        <v>16.786000000000001</v>
      </c>
      <c r="D38" s="19">
        <v>29.555</v>
      </c>
      <c r="E38" s="19">
        <v>6.72</v>
      </c>
      <c r="F38" s="19">
        <v>8.7050000000000001</v>
      </c>
      <c r="G38" s="19">
        <v>-5.3</v>
      </c>
    </row>
    <row r="39" spans="1:7">
      <c r="A39" s="5" t="s">
        <v>135</v>
      </c>
      <c r="B39" s="19">
        <v>-12.1</v>
      </c>
      <c r="C39" s="19">
        <v>-2.5</v>
      </c>
      <c r="D39" s="19">
        <v>-6.9</v>
      </c>
      <c r="E39" s="19">
        <v>-26.8</v>
      </c>
      <c r="F39" s="19">
        <v>-22</v>
      </c>
      <c r="G39" s="19">
        <v>-56</v>
      </c>
    </row>
    <row r="40" spans="1:7">
      <c r="A40" s="5" t="s">
        <v>136</v>
      </c>
      <c r="B40" s="19">
        <v>-7.7</v>
      </c>
      <c r="C40" s="19">
        <v>-8.8000000000000007</v>
      </c>
      <c r="D40" s="19">
        <v>-11</v>
      </c>
      <c r="E40" s="19">
        <v>-7.6</v>
      </c>
      <c r="F40" s="19">
        <v>-9.4</v>
      </c>
      <c r="G40" s="19">
        <v>-14.7</v>
      </c>
    </row>
    <row r="41" spans="1:7" ht="10.5">
      <c r="A41" s="13" t="s">
        <v>137</v>
      </c>
      <c r="B41" s="27">
        <v>228.214</v>
      </c>
      <c r="C41" s="27">
        <v>275.85899999999998</v>
      </c>
      <c r="D41" s="27">
        <v>318.38600000000002</v>
      </c>
      <c r="E41" s="27">
        <v>450.93900000000002</v>
      </c>
      <c r="F41" s="27">
        <v>385.00299999999999</v>
      </c>
      <c r="G41" s="27">
        <v>286.56400000000002</v>
      </c>
    </row>
    <row r="42" spans="1:7">
      <c r="A42" s="5"/>
      <c r="B42" s="5"/>
      <c r="C42" s="5"/>
      <c r="D42" s="5"/>
      <c r="E42" s="5"/>
      <c r="F42" s="5"/>
      <c r="G42" s="5"/>
    </row>
    <row r="43" spans="1:7">
      <c r="A43" s="5" t="s">
        <v>138</v>
      </c>
      <c r="B43" s="19" t="s">
        <v>29</v>
      </c>
      <c r="C43" s="19" t="s">
        <v>29</v>
      </c>
      <c r="D43" s="19" t="s">
        <v>29</v>
      </c>
      <c r="E43" s="19" t="s">
        <v>29</v>
      </c>
      <c r="F43" s="19" t="s">
        <v>29</v>
      </c>
      <c r="G43" s="19">
        <v>-27.8</v>
      </c>
    </row>
    <row r="44" spans="1:7">
      <c r="A44" s="5" t="s">
        <v>139</v>
      </c>
      <c r="B44" s="19">
        <v>-5</v>
      </c>
      <c r="C44" s="19" t="s">
        <v>29</v>
      </c>
      <c r="D44" s="19" t="s">
        <v>29</v>
      </c>
      <c r="E44" s="19" t="s">
        <v>29</v>
      </c>
      <c r="F44" s="19">
        <v>-1.4</v>
      </c>
      <c r="G44" s="19" t="s">
        <v>29</v>
      </c>
    </row>
    <row r="45" spans="1:7">
      <c r="A45" s="5" t="s">
        <v>140</v>
      </c>
      <c r="B45" s="19">
        <v>-2.6</v>
      </c>
      <c r="C45" s="19">
        <v>-5.9</v>
      </c>
      <c r="D45" s="19">
        <v>-8.3000000000000007</v>
      </c>
      <c r="E45" s="19" t="s">
        <v>29</v>
      </c>
      <c r="F45" s="19" t="s">
        <v>29</v>
      </c>
      <c r="G45" s="19" t="s">
        <v>29</v>
      </c>
    </row>
    <row r="46" spans="1:7">
      <c r="A46" s="5" t="s">
        <v>141</v>
      </c>
      <c r="B46" s="19">
        <v>-1.9</v>
      </c>
      <c r="C46" s="19">
        <v>-0.7</v>
      </c>
      <c r="D46" s="19">
        <v>-4</v>
      </c>
      <c r="E46" s="19">
        <v>1.0640000000000001</v>
      </c>
      <c r="F46" s="19">
        <v>7.4859999999999998</v>
      </c>
      <c r="G46" s="19">
        <v>1.651</v>
      </c>
    </row>
    <row r="47" spans="1:7">
      <c r="A47" s="5" t="s">
        <v>142</v>
      </c>
      <c r="B47" s="19">
        <v>-10.199999999999999</v>
      </c>
      <c r="C47" s="19">
        <v>-21.1</v>
      </c>
      <c r="D47" s="19">
        <v>-3.4</v>
      </c>
      <c r="E47" s="19">
        <v>-6.8</v>
      </c>
      <c r="F47" s="19">
        <v>-22.2</v>
      </c>
      <c r="G47" s="19">
        <v>-87.5</v>
      </c>
    </row>
    <row r="48" spans="1:7">
      <c r="A48" s="5" t="s">
        <v>143</v>
      </c>
      <c r="B48" s="19" t="s">
        <v>29</v>
      </c>
      <c r="C48" s="19" t="s">
        <v>29</v>
      </c>
      <c r="D48" s="19">
        <v>1.6</v>
      </c>
      <c r="E48" s="19">
        <v>2</v>
      </c>
      <c r="F48" s="19">
        <v>27.024999999999999</v>
      </c>
      <c r="G48" s="19">
        <v>21.58</v>
      </c>
    </row>
    <row r="49" spans="1:9">
      <c r="A49" s="5" t="s">
        <v>144</v>
      </c>
      <c r="B49" s="19" t="s">
        <v>29</v>
      </c>
      <c r="C49" s="19" t="s">
        <v>29</v>
      </c>
      <c r="D49" s="19" t="s">
        <v>29</v>
      </c>
      <c r="E49" s="19" t="s">
        <v>29</v>
      </c>
      <c r="F49" s="19" t="s">
        <v>29</v>
      </c>
      <c r="G49" s="19">
        <v>0.56899999999999995</v>
      </c>
    </row>
    <row r="50" spans="1:9">
      <c r="A50" s="5" t="s">
        <v>145</v>
      </c>
      <c r="B50" s="19" t="s">
        <v>29</v>
      </c>
      <c r="C50" s="19" t="s">
        <v>29</v>
      </c>
      <c r="D50" s="19" t="s">
        <v>29</v>
      </c>
      <c r="E50" s="19">
        <v>-16.100000000000001</v>
      </c>
      <c r="F50" s="19" t="s">
        <v>29</v>
      </c>
      <c r="G50" s="19" t="s">
        <v>29</v>
      </c>
    </row>
    <row r="51" spans="1:9" ht="10.5">
      <c r="A51" s="13" t="s">
        <v>146</v>
      </c>
      <c r="B51" s="27">
        <v>208.47200000000001</v>
      </c>
      <c r="C51" s="27">
        <v>248.083</v>
      </c>
      <c r="D51" s="27">
        <v>304.322</v>
      </c>
      <c r="E51" s="27">
        <v>431.084</v>
      </c>
      <c r="F51" s="27">
        <v>395.91199999999998</v>
      </c>
      <c r="G51" s="27">
        <v>195.05799999999999</v>
      </c>
    </row>
    <row r="52" spans="1:9">
      <c r="A52" s="5"/>
      <c r="B52" s="5"/>
      <c r="C52" s="5"/>
      <c r="D52" s="5"/>
      <c r="E52" s="5"/>
      <c r="F52" s="5"/>
      <c r="G52" s="5"/>
    </row>
    <row r="53" spans="1:9">
      <c r="A53" s="5" t="s">
        <v>147</v>
      </c>
      <c r="B53" s="19">
        <v>47.735999999999997</v>
      </c>
      <c r="C53" s="19">
        <v>56.42</v>
      </c>
      <c r="D53" s="19">
        <v>75.177999999999997</v>
      </c>
      <c r="E53" s="19">
        <v>103.24</v>
      </c>
      <c r="F53" s="19">
        <v>96.691999999999993</v>
      </c>
      <c r="G53" s="19">
        <v>59.131</v>
      </c>
    </row>
    <row r="54" spans="1:9" ht="10.5">
      <c r="A54" s="13" t="s">
        <v>148</v>
      </c>
      <c r="B54" s="27">
        <v>160.73599999999999</v>
      </c>
      <c r="C54" s="27">
        <v>191.66300000000001</v>
      </c>
      <c r="D54" s="27">
        <v>229.14400000000001</v>
      </c>
      <c r="E54" s="27">
        <v>327.84399999999999</v>
      </c>
      <c r="F54" s="27">
        <v>299.22000000000003</v>
      </c>
      <c r="G54" s="27">
        <v>135.92699999999999</v>
      </c>
    </row>
    <row r="55" spans="1:9">
      <c r="A55" s="5"/>
      <c r="B55" s="5"/>
      <c r="C55" s="5"/>
      <c r="D55" s="5"/>
      <c r="E55" s="5"/>
      <c r="F55" s="5"/>
      <c r="G55" s="5"/>
    </row>
    <row r="56" spans="1:9">
      <c r="A56" s="5" t="s">
        <v>149</v>
      </c>
      <c r="B56" s="19">
        <v>16.422999999999998</v>
      </c>
      <c r="C56" s="19">
        <v>-50.3</v>
      </c>
      <c r="D56" s="19">
        <v>-2.9</v>
      </c>
      <c r="E56" s="19">
        <v>0</v>
      </c>
      <c r="F56" s="19">
        <v>0</v>
      </c>
      <c r="G56" s="19">
        <v>0</v>
      </c>
    </row>
    <row r="57" spans="1:9">
      <c r="A57" s="5" t="s">
        <v>150</v>
      </c>
      <c r="B57" s="19" t="s">
        <v>29</v>
      </c>
      <c r="C57" s="19" t="s">
        <v>29</v>
      </c>
      <c r="D57" s="19" t="s">
        <v>29</v>
      </c>
      <c r="E57" s="19" t="s">
        <v>29</v>
      </c>
      <c r="F57" s="19" t="s">
        <v>29</v>
      </c>
      <c r="G57" s="19" t="s">
        <v>29</v>
      </c>
    </row>
    <row r="58" spans="1:9" ht="10.5">
      <c r="A58" s="13" t="s">
        <v>151</v>
      </c>
      <c r="B58" s="27">
        <v>177.15899999999999</v>
      </c>
      <c r="C58" s="27">
        <v>141.36000000000001</v>
      </c>
      <c r="D58" s="27">
        <v>226.251</v>
      </c>
      <c r="E58" s="27">
        <v>327.84399999999999</v>
      </c>
      <c r="F58" s="27">
        <v>299.22000000000003</v>
      </c>
      <c r="G58" s="27">
        <v>135.92699999999999</v>
      </c>
    </row>
    <row r="59" spans="1:9">
      <c r="A59" s="5"/>
      <c r="B59" s="5"/>
      <c r="C59" s="5"/>
      <c r="D59" s="5"/>
      <c r="E59" s="5"/>
      <c r="F59" s="5"/>
      <c r="G59" s="5"/>
    </row>
    <row r="60" spans="1:9">
      <c r="A60" s="5" t="s">
        <v>152</v>
      </c>
      <c r="B60" s="19">
        <v>-7.9</v>
      </c>
      <c r="C60" s="19">
        <v>-10.6</v>
      </c>
      <c r="D60" s="19">
        <v>-14.3</v>
      </c>
      <c r="E60" s="19">
        <v>-10.9</v>
      </c>
      <c r="F60" s="19">
        <v>-11.4</v>
      </c>
      <c r="G60" s="19">
        <v>-5.4</v>
      </c>
      <c r="I60" s="47"/>
    </row>
    <row r="61" spans="1:9" ht="10.5">
      <c r="A61" s="13" t="s">
        <v>153</v>
      </c>
      <c r="B61" s="28">
        <v>169.22499999999999</v>
      </c>
      <c r="C61" s="28">
        <v>130.72399999999999</v>
      </c>
      <c r="D61" s="28">
        <v>211.94300000000001</v>
      </c>
      <c r="E61" s="28">
        <v>316.98399999999998</v>
      </c>
      <c r="F61" s="28">
        <v>287.791</v>
      </c>
      <c r="G61" s="28">
        <v>130.53</v>
      </c>
    </row>
    <row r="62" spans="1:9">
      <c r="A62" s="5"/>
      <c r="B62" s="5"/>
      <c r="C62" s="5"/>
      <c r="D62" s="5"/>
      <c r="E62" s="5"/>
      <c r="F62" s="5"/>
      <c r="G62" s="5"/>
    </row>
    <row r="63" spans="1:9">
      <c r="A63" s="5" t="s">
        <v>154</v>
      </c>
      <c r="B63" s="19" t="s">
        <v>29</v>
      </c>
      <c r="C63" s="19" t="s">
        <v>29</v>
      </c>
      <c r="D63" s="19" t="s">
        <v>29</v>
      </c>
      <c r="E63" s="19" t="s">
        <v>29</v>
      </c>
      <c r="F63" s="19">
        <v>0</v>
      </c>
      <c r="G63" s="19">
        <v>0</v>
      </c>
    </row>
    <row r="64" spans="1:9">
      <c r="A64" s="5"/>
      <c r="B64" s="5"/>
      <c r="C64" s="5"/>
      <c r="D64" s="5"/>
      <c r="E64" s="5"/>
      <c r="F64" s="5"/>
      <c r="G64" s="5"/>
    </row>
    <row r="65" spans="1:11" ht="10.5">
      <c r="A65" s="13" t="s">
        <v>155</v>
      </c>
      <c r="B65" s="14">
        <v>169.22499999999999</v>
      </c>
      <c r="C65" s="14">
        <v>130.72399999999999</v>
      </c>
      <c r="D65" s="14">
        <v>211.94300000000001</v>
      </c>
      <c r="E65" s="14">
        <v>316.98399999999998</v>
      </c>
      <c r="F65" s="14">
        <v>287.791</v>
      </c>
      <c r="G65" s="14">
        <v>130.53</v>
      </c>
    </row>
    <row r="66" spans="1:11" ht="10.5">
      <c r="A66" s="13" t="s">
        <v>156</v>
      </c>
      <c r="B66" s="14">
        <v>152.80199999999999</v>
      </c>
      <c r="C66" s="14">
        <v>181.02699999999999</v>
      </c>
      <c r="D66" s="14">
        <v>214.83600000000001</v>
      </c>
      <c r="E66" s="14">
        <v>316.98399999999998</v>
      </c>
      <c r="F66" s="14">
        <v>287.791</v>
      </c>
      <c r="G66" s="14">
        <v>130.53</v>
      </c>
    </row>
    <row r="67" spans="1:11">
      <c r="A67" s="5"/>
      <c r="B67" s="5"/>
      <c r="C67" s="5"/>
      <c r="D67" s="5"/>
      <c r="E67" s="5"/>
      <c r="F67" s="5"/>
      <c r="G67" s="5"/>
      <c r="K67" s="47"/>
    </row>
    <row r="68" spans="1:11" ht="10.5">
      <c r="A68" s="13" t="s">
        <v>157</v>
      </c>
      <c r="B68" s="5"/>
      <c r="C68" s="5"/>
      <c r="D68" s="5"/>
      <c r="E68" s="5"/>
      <c r="F68" s="5"/>
      <c r="G68" s="5"/>
    </row>
    <row r="69" spans="1:11">
      <c r="A69" s="5" t="s">
        <v>158</v>
      </c>
      <c r="B69" s="21">
        <v>0.78023299999999995</v>
      </c>
      <c r="C69" s="21">
        <v>0.60026900000000005</v>
      </c>
      <c r="D69" s="21">
        <v>0.96742399999999995</v>
      </c>
      <c r="E69" s="21">
        <v>1.325169</v>
      </c>
      <c r="F69" s="21">
        <v>1.1963440000000001</v>
      </c>
      <c r="G69" s="21">
        <v>0.54254199999999997</v>
      </c>
    </row>
    <row r="70" spans="1:11">
      <c r="A70" s="5" t="s">
        <v>159</v>
      </c>
      <c r="B70" s="21">
        <v>0.70451200000000003</v>
      </c>
      <c r="C70" s="21">
        <v>0.83125400000000005</v>
      </c>
      <c r="D70" s="21">
        <v>0.98062899999999997</v>
      </c>
      <c r="E70" s="21">
        <v>1.325169</v>
      </c>
      <c r="F70" s="21">
        <v>1.1963440000000001</v>
      </c>
      <c r="G70" s="21">
        <v>0.54254199999999997</v>
      </c>
    </row>
    <row r="71" spans="1:11">
      <c r="A71" s="5" t="s">
        <v>160</v>
      </c>
      <c r="B71" s="19">
        <v>216.89025599999999</v>
      </c>
      <c r="C71" s="19">
        <v>217.775656</v>
      </c>
      <c r="D71" s="19">
        <v>219.079587</v>
      </c>
      <c r="E71" s="19">
        <v>239.20253700000001</v>
      </c>
      <c r="F71" s="19">
        <v>240.55865900000001</v>
      </c>
      <c r="G71" s="19">
        <v>240.58955</v>
      </c>
    </row>
    <row r="72" spans="1:11">
      <c r="A72" s="5"/>
      <c r="B72" s="5"/>
      <c r="C72" s="5"/>
      <c r="D72" s="5"/>
      <c r="E72" s="5"/>
      <c r="F72" s="5"/>
      <c r="G72" s="5"/>
    </row>
    <row r="73" spans="1:11">
      <c r="A73" s="5" t="s">
        <v>161</v>
      </c>
      <c r="B73" s="21">
        <v>0.78023299999999995</v>
      </c>
      <c r="C73" s="21">
        <v>0.59569300000000003</v>
      </c>
      <c r="D73" s="21">
        <v>0.95691800000000005</v>
      </c>
      <c r="E73" s="21">
        <v>1.31</v>
      </c>
      <c r="F73" s="21">
        <v>1.189999</v>
      </c>
      <c r="G73" s="21">
        <v>0.54</v>
      </c>
    </row>
    <row r="74" spans="1:11">
      <c r="A74" s="5" t="s">
        <v>162</v>
      </c>
      <c r="B74" s="21">
        <v>0.70451200000000003</v>
      </c>
      <c r="C74" s="21">
        <v>0.82499999999999996</v>
      </c>
      <c r="D74" s="21">
        <v>0.96999900000000006</v>
      </c>
      <c r="E74" s="21">
        <v>1.31</v>
      </c>
      <c r="F74" s="21">
        <v>1.189999</v>
      </c>
      <c r="G74" s="21">
        <v>0.54</v>
      </c>
    </row>
    <row r="75" spans="1:11">
      <c r="A75" s="5" t="s">
        <v>163</v>
      </c>
      <c r="B75" s="19">
        <v>217.85449</v>
      </c>
      <c r="C75" s="19">
        <v>219.37031999999999</v>
      </c>
      <c r="D75" s="19">
        <v>221.14888999999999</v>
      </c>
      <c r="E75" s="19">
        <v>241.68659299999999</v>
      </c>
      <c r="F75" s="19">
        <v>241.912769</v>
      </c>
      <c r="G75" s="19">
        <v>241.77307500000001</v>
      </c>
    </row>
    <row r="76" spans="1:11">
      <c r="A76" s="5"/>
      <c r="B76" s="5"/>
      <c r="C76" s="5"/>
      <c r="D76" s="5"/>
      <c r="E76" s="5"/>
      <c r="F76" s="5"/>
      <c r="G76" s="5"/>
    </row>
    <row r="77" spans="1:11">
      <c r="A77" s="5" t="s">
        <v>164</v>
      </c>
      <c r="B77" s="21">
        <v>0.62104999999999999</v>
      </c>
      <c r="C77" s="21">
        <v>0.74285500000000004</v>
      </c>
      <c r="D77" s="21">
        <v>0.84299599999999997</v>
      </c>
      <c r="E77" s="21">
        <v>1.1328339999999999</v>
      </c>
      <c r="F77" s="21">
        <v>0.95277299999999998</v>
      </c>
      <c r="G77" s="21">
        <v>0.72199899999999995</v>
      </c>
    </row>
    <row r="78" spans="1:11">
      <c r="A78" s="5" t="s">
        <v>165</v>
      </c>
      <c r="B78" s="21">
        <v>0.61830099999999999</v>
      </c>
      <c r="C78" s="21">
        <v>0.73745499999999997</v>
      </c>
      <c r="D78" s="21">
        <v>0.83510799999999996</v>
      </c>
      <c r="E78" s="21">
        <v>1.121191</v>
      </c>
      <c r="F78" s="21">
        <v>0.94743999999999995</v>
      </c>
      <c r="G78" s="21">
        <v>0.71846500000000002</v>
      </c>
    </row>
    <row r="79" spans="1:11">
      <c r="A79" s="5"/>
      <c r="B79" s="5"/>
      <c r="C79" s="5"/>
      <c r="D79" s="5"/>
      <c r="E79" s="5"/>
      <c r="F79" s="5"/>
      <c r="G79" s="5"/>
    </row>
    <row r="80" spans="1:11">
      <c r="A80" s="5" t="s">
        <v>166</v>
      </c>
      <c r="B80" s="21">
        <v>0.6</v>
      </c>
      <c r="C80" s="21">
        <v>0.65</v>
      </c>
      <c r="D80" s="21">
        <v>0.7</v>
      </c>
      <c r="E80" s="21">
        <v>0.75</v>
      </c>
      <c r="F80" s="21">
        <v>0.375</v>
      </c>
      <c r="G80" s="21">
        <v>0.75</v>
      </c>
    </row>
    <row r="81" spans="1:7">
      <c r="A81" s="5" t="s">
        <v>167</v>
      </c>
      <c r="B81" s="29">
        <v>0.64197300000000002</v>
      </c>
      <c r="C81" s="29">
        <v>1.0576939999999999</v>
      </c>
      <c r="D81" s="29">
        <v>0.710955</v>
      </c>
      <c r="E81" s="29">
        <v>0.55317300000000003</v>
      </c>
      <c r="F81" s="29">
        <v>0.64764699999999997</v>
      </c>
      <c r="G81" s="29">
        <v>0.46074399999999999</v>
      </c>
    </row>
    <row r="82" spans="1:7">
      <c r="A82" s="5"/>
      <c r="B82" s="5"/>
      <c r="C82" s="5"/>
      <c r="D82" s="5"/>
      <c r="E82" s="5"/>
      <c r="F82" s="5"/>
      <c r="G82" s="5"/>
    </row>
    <row r="83" spans="1:7">
      <c r="A83" s="5" t="s">
        <v>168</v>
      </c>
      <c r="B83" s="30">
        <v>0.25</v>
      </c>
      <c r="C83" s="30">
        <v>0.25</v>
      </c>
      <c r="D83" s="30">
        <v>0.25</v>
      </c>
      <c r="E83" s="30">
        <v>0.25</v>
      </c>
      <c r="F83" s="30">
        <v>0.25</v>
      </c>
      <c r="G83" s="30">
        <v>0.25</v>
      </c>
    </row>
    <row r="84" spans="1:7">
      <c r="A84" s="5"/>
      <c r="B84" s="5"/>
      <c r="C84" s="5"/>
      <c r="D84" s="5"/>
      <c r="E84" s="5"/>
      <c r="F84" s="5"/>
      <c r="G84" s="5"/>
    </row>
    <row r="85" spans="1:7" ht="10.5">
      <c r="A85" s="13" t="s">
        <v>74</v>
      </c>
      <c r="B85" s="5"/>
      <c r="C85" s="5"/>
      <c r="D85" s="5"/>
      <c r="E85" s="5"/>
      <c r="F85" s="5"/>
      <c r="G85" s="5"/>
    </row>
    <row r="86" spans="1:7">
      <c r="A86" s="5" t="s">
        <v>169</v>
      </c>
      <c r="B86" s="19">
        <v>388.48399999999998</v>
      </c>
      <c r="C86" s="19">
        <v>431.04599999999999</v>
      </c>
      <c r="D86" s="19">
        <v>495.32499999999999</v>
      </c>
      <c r="E86" s="19">
        <v>693.60699999999997</v>
      </c>
      <c r="F86" s="19">
        <v>654.65800000000002</v>
      </c>
      <c r="G86" s="19">
        <v>646.34500000000003</v>
      </c>
    </row>
    <row r="87" spans="1:7">
      <c r="A87" s="5" t="s">
        <v>170</v>
      </c>
      <c r="B87" s="19">
        <v>247.392</v>
      </c>
      <c r="C87" s="19">
        <v>285.68200000000002</v>
      </c>
      <c r="D87" s="19">
        <v>340.81099999999998</v>
      </c>
      <c r="E87" s="19">
        <v>523.90800000000002</v>
      </c>
      <c r="F87" s="19">
        <v>463.66199999999998</v>
      </c>
      <c r="G87" s="19">
        <v>433.971</v>
      </c>
    </row>
    <row r="88" spans="1:7">
      <c r="A88" s="5" t="s">
        <v>171</v>
      </c>
      <c r="B88" s="19">
        <v>242.97300000000001</v>
      </c>
      <c r="C88" s="19">
        <v>276.74299999999999</v>
      </c>
      <c r="D88" s="19">
        <v>326.15499999999997</v>
      </c>
      <c r="E88" s="19">
        <v>506.858</v>
      </c>
      <c r="F88" s="19">
        <v>448.04199999999997</v>
      </c>
      <c r="G88" s="19">
        <v>419.73599999999999</v>
      </c>
    </row>
    <row r="89" spans="1:7">
      <c r="A89" s="5" t="s">
        <v>172</v>
      </c>
      <c r="B89" s="19">
        <v>9755.7150000000001</v>
      </c>
      <c r="C89" s="19">
        <v>10503.353999999999</v>
      </c>
      <c r="D89" s="19">
        <v>12019.228999999999</v>
      </c>
      <c r="E89" s="19">
        <v>13818.296</v>
      </c>
      <c r="F89" s="19">
        <v>17606.157999999999</v>
      </c>
      <c r="G89" s="19">
        <v>20790.718000000001</v>
      </c>
    </row>
    <row r="90" spans="1:7">
      <c r="A90" s="5" t="s">
        <v>173</v>
      </c>
      <c r="B90" s="29">
        <v>0.22897999999999999</v>
      </c>
      <c r="C90" s="29">
        <v>0.22742299999999999</v>
      </c>
      <c r="D90" s="29">
        <v>0.247034</v>
      </c>
      <c r="E90" s="29">
        <v>0.23948900000000001</v>
      </c>
      <c r="F90" s="29">
        <v>0.244225</v>
      </c>
      <c r="G90" s="29">
        <v>0.303145</v>
      </c>
    </row>
    <row r="91" spans="1:7">
      <c r="A91" s="5" t="s">
        <v>174</v>
      </c>
      <c r="B91" s="19">
        <v>67.707999999999998</v>
      </c>
      <c r="C91" s="19">
        <v>71.046000000000006</v>
      </c>
      <c r="D91" s="19">
        <v>76.713999999999999</v>
      </c>
      <c r="E91" s="19">
        <v>112.599</v>
      </c>
      <c r="F91" s="19">
        <v>113.229</v>
      </c>
      <c r="G91" s="19">
        <v>115.672</v>
      </c>
    </row>
    <row r="92" spans="1:7">
      <c r="A92" s="5" t="s">
        <v>175</v>
      </c>
      <c r="B92" s="19">
        <v>-20</v>
      </c>
      <c r="C92" s="19">
        <v>-14.6</v>
      </c>
      <c r="D92" s="19">
        <v>-1.5</v>
      </c>
      <c r="E92" s="19">
        <v>-9.4</v>
      </c>
      <c r="F92" s="19">
        <v>-16.5</v>
      </c>
      <c r="G92" s="19">
        <v>-56.5</v>
      </c>
    </row>
    <row r="93" spans="1:7">
      <c r="A93" s="5"/>
      <c r="B93" s="5"/>
      <c r="C93" s="5"/>
      <c r="D93" s="5"/>
      <c r="E93" s="5"/>
      <c r="F93" s="5"/>
      <c r="G93" s="5"/>
    </row>
    <row r="94" spans="1:7">
      <c r="A94" s="5" t="s">
        <v>176</v>
      </c>
      <c r="B94" s="19">
        <v>134.69974999999999</v>
      </c>
      <c r="C94" s="19">
        <v>161.77587500000001</v>
      </c>
      <c r="D94" s="19">
        <v>184.68324999999999</v>
      </c>
      <c r="E94" s="19">
        <v>270.97687500000001</v>
      </c>
      <c r="F94" s="19">
        <v>229.19787500000001</v>
      </c>
      <c r="G94" s="19">
        <v>173.7055</v>
      </c>
    </row>
    <row r="95" spans="1:7">
      <c r="A95" s="5" t="s">
        <v>177</v>
      </c>
      <c r="B95" s="19" t="s">
        <v>96</v>
      </c>
      <c r="C95" s="19" t="s">
        <v>96</v>
      </c>
      <c r="D95" s="19" t="s">
        <v>96</v>
      </c>
      <c r="E95" s="19">
        <v>0.8</v>
      </c>
      <c r="F95" s="19">
        <v>6</v>
      </c>
      <c r="G95" s="19" t="s">
        <v>96</v>
      </c>
    </row>
    <row r="96" spans="1:7">
      <c r="A96" s="5" t="s">
        <v>178</v>
      </c>
      <c r="B96" s="19">
        <v>6.8220000000000001</v>
      </c>
      <c r="C96" s="19">
        <v>8.4390000000000001</v>
      </c>
      <c r="D96" s="19">
        <v>7.4210000000000003</v>
      </c>
      <c r="E96" s="19">
        <v>6.84</v>
      </c>
      <c r="F96" s="19">
        <v>4.3289999999999997</v>
      </c>
      <c r="G96" s="19">
        <v>4.2249999999999996</v>
      </c>
    </row>
    <row r="97" spans="1:13">
      <c r="A97" s="5" t="s">
        <v>98</v>
      </c>
      <c r="B97" s="31">
        <v>42818</v>
      </c>
      <c r="C97" s="31">
        <v>43182</v>
      </c>
      <c r="D97" s="31">
        <v>43544</v>
      </c>
      <c r="E97" s="31">
        <v>43921</v>
      </c>
      <c r="F97" s="31">
        <v>44281</v>
      </c>
      <c r="G97" s="31">
        <v>44281</v>
      </c>
    </row>
    <row r="98" spans="1:13">
      <c r="A98" s="5" t="s">
        <v>99</v>
      </c>
      <c r="B98" s="18" t="s">
        <v>179</v>
      </c>
      <c r="C98" s="18" t="s">
        <v>180</v>
      </c>
      <c r="D98" s="18" t="s">
        <v>180</v>
      </c>
      <c r="E98" s="18" t="s">
        <v>180</v>
      </c>
      <c r="F98" s="18" t="s">
        <v>180</v>
      </c>
      <c r="G98" s="18" t="s">
        <v>102</v>
      </c>
    </row>
    <row r="99" spans="1:13">
      <c r="A99" s="5" t="s">
        <v>103</v>
      </c>
      <c r="B99" s="18" t="s">
        <v>104</v>
      </c>
      <c r="C99" s="18" t="s">
        <v>104</v>
      </c>
      <c r="D99" s="18" t="s">
        <v>104</v>
      </c>
      <c r="E99" s="18" t="s">
        <v>104</v>
      </c>
      <c r="F99" s="18" t="s">
        <v>104</v>
      </c>
      <c r="G99" s="18" t="s">
        <v>104</v>
      </c>
    </row>
    <row r="100" spans="1:13">
      <c r="A100" s="5"/>
      <c r="B100" s="5"/>
      <c r="C100" s="5"/>
      <c r="D100" s="5"/>
      <c r="E100" s="5"/>
      <c r="F100" s="5"/>
      <c r="G100" s="5"/>
    </row>
    <row r="101" spans="1:13" ht="10.5">
      <c r="A101" s="13" t="s">
        <v>181</v>
      </c>
      <c r="B101" s="5"/>
      <c r="C101" s="5"/>
      <c r="D101" s="5"/>
      <c r="E101" s="5"/>
      <c r="F101" s="5"/>
      <c r="G101" s="5"/>
    </row>
    <row r="102" spans="1:13">
      <c r="A102" s="5" t="s">
        <v>182</v>
      </c>
      <c r="B102" s="19">
        <v>144.161</v>
      </c>
      <c r="C102" s="19">
        <v>151.321</v>
      </c>
      <c r="D102" s="19">
        <v>172.08699999999999</v>
      </c>
      <c r="E102" s="19">
        <v>187.37</v>
      </c>
      <c r="F102" s="19">
        <v>189.785</v>
      </c>
      <c r="G102" s="19">
        <v>220.60300000000001</v>
      </c>
    </row>
    <row r="103" spans="1:13">
      <c r="A103" s="5"/>
      <c r="B103" s="5"/>
      <c r="C103" s="5"/>
      <c r="D103" s="5"/>
      <c r="E103" s="5"/>
      <c r="F103" s="5"/>
      <c r="G103" s="5"/>
    </row>
    <row r="104" spans="1:13">
      <c r="A104" s="5" t="s">
        <v>183</v>
      </c>
      <c r="B104" s="19">
        <v>5.4</v>
      </c>
      <c r="C104" s="19">
        <v>3.548</v>
      </c>
      <c r="D104" s="19">
        <v>6.1289999999999996</v>
      </c>
      <c r="E104" s="19">
        <v>11.15</v>
      </c>
      <c r="F104" s="19">
        <v>8.2110000000000003</v>
      </c>
      <c r="G104" s="19">
        <v>10.108000000000001</v>
      </c>
    </row>
    <row r="105" spans="1:13" ht="10.5">
      <c r="A105" s="13" t="s">
        <v>184</v>
      </c>
      <c r="B105" s="14">
        <v>5.4</v>
      </c>
      <c r="C105" s="14">
        <v>3.548</v>
      </c>
      <c r="D105" s="14">
        <v>6.1289999999999996</v>
      </c>
      <c r="E105" s="14">
        <v>11.15</v>
      </c>
      <c r="F105" s="14">
        <v>8.2110000000000003</v>
      </c>
      <c r="G105" s="14">
        <v>10.108000000000001</v>
      </c>
    </row>
    <row r="106" spans="1:13">
      <c r="A106" s="5"/>
      <c r="B106" s="5"/>
      <c r="C106" s="5"/>
      <c r="D106" s="5"/>
      <c r="E106" s="5"/>
      <c r="F106" s="5"/>
      <c r="G106" s="5"/>
    </row>
    <row r="107" spans="1:13">
      <c r="A107" s="5"/>
      <c r="B107" s="5" t="s">
        <v>105</v>
      </c>
      <c r="C107" s="5" t="s">
        <v>105</v>
      </c>
      <c r="D107" s="5" t="s">
        <v>105</v>
      </c>
      <c r="E107" s="5" t="s">
        <v>105</v>
      </c>
      <c r="F107" s="5" t="s">
        <v>105</v>
      </c>
      <c r="G107" s="5" t="s">
        <v>105</v>
      </c>
    </row>
    <row r="108" spans="1:13">
      <c r="A108" s="5" t="s">
        <v>24</v>
      </c>
      <c r="B108" s="18" t="s">
        <v>25</v>
      </c>
      <c r="C108" s="18" t="s">
        <v>25</v>
      </c>
      <c r="D108" s="18" t="s">
        <v>25</v>
      </c>
      <c r="E108" s="18" t="s">
        <v>25</v>
      </c>
      <c r="F108" s="18" t="s">
        <v>25</v>
      </c>
      <c r="G108" s="18" t="s">
        <v>25</v>
      </c>
    </row>
    <row r="109" spans="1:13">
      <c r="A109" s="5" t="s">
        <v>106</v>
      </c>
      <c r="B109" s="19">
        <v>1</v>
      </c>
      <c r="C109" s="19">
        <v>1</v>
      </c>
      <c r="D109" s="19">
        <v>1</v>
      </c>
      <c r="E109" s="19">
        <v>1</v>
      </c>
      <c r="F109" s="19">
        <v>1</v>
      </c>
      <c r="G109" s="19">
        <v>1</v>
      </c>
    </row>
    <row r="110" spans="1:13">
      <c r="A110" s="5" t="s">
        <v>107</v>
      </c>
      <c r="B110" s="18" t="s">
        <v>108</v>
      </c>
      <c r="C110" s="18" t="s">
        <v>108</v>
      </c>
      <c r="D110" s="18" t="s">
        <v>108</v>
      </c>
      <c r="E110" s="18" t="s">
        <v>108</v>
      </c>
      <c r="F110" s="18" t="s">
        <v>108</v>
      </c>
      <c r="G110" s="18" t="s">
        <v>108</v>
      </c>
    </row>
    <row r="111" spans="1:13">
      <c r="A111" s="32" t="s">
        <v>185</v>
      </c>
      <c r="B111" s="20"/>
      <c r="C111" s="20"/>
      <c r="D111" s="20"/>
      <c r="E111" s="20"/>
      <c r="F111" s="20"/>
      <c r="G111" s="20"/>
      <c r="H111" s="20"/>
      <c r="I111" s="20"/>
      <c r="J111" s="20"/>
      <c r="K111" s="20"/>
      <c r="L111" s="20"/>
      <c r="M111" s="20"/>
    </row>
    <row r="112" spans="1:13">
      <c r="A112" s="2" t="s">
        <v>186</v>
      </c>
    </row>
    <row r="113" spans="1:1">
      <c r="A113" s="25" t="s">
        <v>110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EF8DC-DCE7-45EF-A5F2-9E8CD8CB4396}">
  <sheetPr>
    <tabColor theme="0" tint="-0.249977111117893"/>
  </sheetPr>
  <dimension ref="A5:IU91"/>
  <sheetViews>
    <sheetView topLeftCell="A22" workbookViewId="0">
      <selection activeCell="A42" sqref="A42"/>
    </sheetView>
  </sheetViews>
  <sheetFormatPr baseColWidth="10" defaultColWidth="8.54296875" defaultRowHeight="10"/>
  <cols>
    <col min="1" max="1" width="45.90625" style="2" customWidth="1"/>
    <col min="2" max="13" width="14.90625" style="2" customWidth="1"/>
    <col min="14" max="256" width="9.08984375" style="2"/>
    <col min="257" max="257" width="45.90625" style="2" customWidth="1"/>
    <col min="258" max="269" width="14.90625" style="2" customWidth="1"/>
    <col min="270" max="512" width="9.08984375" style="2"/>
    <col min="513" max="513" width="45.90625" style="2" customWidth="1"/>
    <col min="514" max="525" width="14.90625" style="2" customWidth="1"/>
    <col min="526" max="768" width="9.08984375" style="2"/>
    <col min="769" max="769" width="45.90625" style="2" customWidth="1"/>
    <col min="770" max="781" width="14.90625" style="2" customWidth="1"/>
    <col min="782" max="1024" width="9.08984375" style="2"/>
    <col min="1025" max="1025" width="45.90625" style="2" customWidth="1"/>
    <col min="1026" max="1037" width="14.90625" style="2" customWidth="1"/>
    <col min="1038" max="1280" width="9.08984375" style="2"/>
    <col min="1281" max="1281" width="45.90625" style="2" customWidth="1"/>
    <col min="1282" max="1293" width="14.90625" style="2" customWidth="1"/>
    <col min="1294" max="1536" width="9.08984375" style="2"/>
    <col min="1537" max="1537" width="45.90625" style="2" customWidth="1"/>
    <col min="1538" max="1549" width="14.90625" style="2" customWidth="1"/>
    <col min="1550" max="1792" width="9.08984375" style="2"/>
    <col min="1793" max="1793" width="45.90625" style="2" customWidth="1"/>
    <col min="1794" max="1805" width="14.90625" style="2" customWidth="1"/>
    <col min="1806" max="2048" width="9.08984375" style="2"/>
    <col min="2049" max="2049" width="45.90625" style="2" customWidth="1"/>
    <col min="2050" max="2061" width="14.90625" style="2" customWidth="1"/>
    <col min="2062" max="2304" width="9.08984375" style="2"/>
    <col min="2305" max="2305" width="45.90625" style="2" customWidth="1"/>
    <col min="2306" max="2317" width="14.90625" style="2" customWidth="1"/>
    <col min="2318" max="2560" width="9.08984375" style="2"/>
    <col min="2561" max="2561" width="45.90625" style="2" customWidth="1"/>
    <col min="2562" max="2573" width="14.90625" style="2" customWidth="1"/>
    <col min="2574" max="2816" width="9.08984375" style="2"/>
    <col min="2817" max="2817" width="45.90625" style="2" customWidth="1"/>
    <col min="2818" max="2829" width="14.90625" style="2" customWidth="1"/>
    <col min="2830" max="3072" width="9.08984375" style="2"/>
    <col min="3073" max="3073" width="45.90625" style="2" customWidth="1"/>
    <col min="3074" max="3085" width="14.90625" style="2" customWidth="1"/>
    <col min="3086" max="3328" width="9.08984375" style="2"/>
    <col min="3329" max="3329" width="45.90625" style="2" customWidth="1"/>
    <col min="3330" max="3341" width="14.90625" style="2" customWidth="1"/>
    <col min="3342" max="3584" width="9.08984375" style="2"/>
    <col min="3585" max="3585" width="45.90625" style="2" customWidth="1"/>
    <col min="3586" max="3597" width="14.90625" style="2" customWidth="1"/>
    <col min="3598" max="3840" width="9.08984375" style="2"/>
    <col min="3841" max="3841" width="45.90625" style="2" customWidth="1"/>
    <col min="3842" max="3853" width="14.90625" style="2" customWidth="1"/>
    <col min="3854" max="4096" width="9.08984375" style="2"/>
    <col min="4097" max="4097" width="45.90625" style="2" customWidth="1"/>
    <col min="4098" max="4109" width="14.90625" style="2" customWidth="1"/>
    <col min="4110" max="4352" width="9.08984375" style="2"/>
    <col min="4353" max="4353" width="45.90625" style="2" customWidth="1"/>
    <col min="4354" max="4365" width="14.90625" style="2" customWidth="1"/>
    <col min="4366" max="4608" width="9.08984375" style="2"/>
    <col min="4609" max="4609" width="45.90625" style="2" customWidth="1"/>
    <col min="4610" max="4621" width="14.90625" style="2" customWidth="1"/>
    <col min="4622" max="4864" width="9.08984375" style="2"/>
    <col min="4865" max="4865" width="45.90625" style="2" customWidth="1"/>
    <col min="4866" max="4877" width="14.90625" style="2" customWidth="1"/>
    <col min="4878" max="5120" width="9.08984375" style="2"/>
    <col min="5121" max="5121" width="45.90625" style="2" customWidth="1"/>
    <col min="5122" max="5133" width="14.90625" style="2" customWidth="1"/>
    <col min="5134" max="5376" width="9.08984375" style="2"/>
    <col min="5377" max="5377" width="45.90625" style="2" customWidth="1"/>
    <col min="5378" max="5389" width="14.90625" style="2" customWidth="1"/>
    <col min="5390" max="5632" width="9.08984375" style="2"/>
    <col min="5633" max="5633" width="45.90625" style="2" customWidth="1"/>
    <col min="5634" max="5645" width="14.90625" style="2" customWidth="1"/>
    <col min="5646" max="5888" width="9.08984375" style="2"/>
    <col min="5889" max="5889" width="45.90625" style="2" customWidth="1"/>
    <col min="5890" max="5901" width="14.90625" style="2" customWidth="1"/>
    <col min="5902" max="6144" width="9.08984375" style="2"/>
    <col min="6145" max="6145" width="45.90625" style="2" customWidth="1"/>
    <col min="6146" max="6157" width="14.90625" style="2" customWidth="1"/>
    <col min="6158" max="6400" width="9.08984375" style="2"/>
    <col min="6401" max="6401" width="45.90625" style="2" customWidth="1"/>
    <col min="6402" max="6413" width="14.90625" style="2" customWidth="1"/>
    <col min="6414" max="6656" width="9.08984375" style="2"/>
    <col min="6657" max="6657" width="45.90625" style="2" customWidth="1"/>
    <col min="6658" max="6669" width="14.90625" style="2" customWidth="1"/>
    <col min="6670" max="6912" width="9.08984375" style="2"/>
    <col min="6913" max="6913" width="45.90625" style="2" customWidth="1"/>
    <col min="6914" max="6925" width="14.90625" style="2" customWidth="1"/>
    <col min="6926" max="7168" width="9.08984375" style="2"/>
    <col min="7169" max="7169" width="45.90625" style="2" customWidth="1"/>
    <col min="7170" max="7181" width="14.90625" style="2" customWidth="1"/>
    <col min="7182" max="7424" width="9.08984375" style="2"/>
    <col min="7425" max="7425" width="45.90625" style="2" customWidth="1"/>
    <col min="7426" max="7437" width="14.90625" style="2" customWidth="1"/>
    <col min="7438" max="7680" width="9.08984375" style="2"/>
    <col min="7681" max="7681" width="45.90625" style="2" customWidth="1"/>
    <col min="7682" max="7693" width="14.90625" style="2" customWidth="1"/>
    <col min="7694" max="7936" width="9.08984375" style="2"/>
    <col min="7937" max="7937" width="45.90625" style="2" customWidth="1"/>
    <col min="7938" max="7949" width="14.90625" style="2" customWidth="1"/>
    <col min="7950" max="8192" width="9.08984375" style="2"/>
    <col min="8193" max="8193" width="45.90625" style="2" customWidth="1"/>
    <col min="8194" max="8205" width="14.90625" style="2" customWidth="1"/>
    <col min="8206" max="8448" width="9.08984375" style="2"/>
    <col min="8449" max="8449" width="45.90625" style="2" customWidth="1"/>
    <col min="8450" max="8461" width="14.90625" style="2" customWidth="1"/>
    <col min="8462" max="8704" width="9.08984375" style="2"/>
    <col min="8705" max="8705" width="45.90625" style="2" customWidth="1"/>
    <col min="8706" max="8717" width="14.90625" style="2" customWidth="1"/>
    <col min="8718" max="8960" width="9.08984375" style="2"/>
    <col min="8961" max="8961" width="45.90625" style="2" customWidth="1"/>
    <col min="8962" max="8973" width="14.90625" style="2" customWidth="1"/>
    <col min="8974" max="9216" width="9.08984375" style="2"/>
    <col min="9217" max="9217" width="45.90625" style="2" customWidth="1"/>
    <col min="9218" max="9229" width="14.90625" style="2" customWidth="1"/>
    <col min="9230" max="9472" width="9.08984375" style="2"/>
    <col min="9473" max="9473" width="45.90625" style="2" customWidth="1"/>
    <col min="9474" max="9485" width="14.90625" style="2" customWidth="1"/>
    <col min="9486" max="9728" width="9.08984375" style="2"/>
    <col min="9729" max="9729" width="45.90625" style="2" customWidth="1"/>
    <col min="9730" max="9741" width="14.90625" style="2" customWidth="1"/>
    <col min="9742" max="9984" width="9.08984375" style="2"/>
    <col min="9985" max="9985" width="45.90625" style="2" customWidth="1"/>
    <col min="9986" max="9997" width="14.90625" style="2" customWidth="1"/>
    <col min="9998" max="10240" width="9.08984375" style="2"/>
    <col min="10241" max="10241" width="45.90625" style="2" customWidth="1"/>
    <col min="10242" max="10253" width="14.90625" style="2" customWidth="1"/>
    <col min="10254" max="10496" width="9.08984375" style="2"/>
    <col min="10497" max="10497" width="45.90625" style="2" customWidth="1"/>
    <col min="10498" max="10509" width="14.90625" style="2" customWidth="1"/>
    <col min="10510" max="10752" width="9.08984375" style="2"/>
    <col min="10753" max="10753" width="45.90625" style="2" customWidth="1"/>
    <col min="10754" max="10765" width="14.90625" style="2" customWidth="1"/>
    <col min="10766" max="11008" width="9.08984375" style="2"/>
    <col min="11009" max="11009" width="45.90625" style="2" customWidth="1"/>
    <col min="11010" max="11021" width="14.90625" style="2" customWidth="1"/>
    <col min="11022" max="11264" width="9.08984375" style="2"/>
    <col min="11265" max="11265" width="45.90625" style="2" customWidth="1"/>
    <col min="11266" max="11277" width="14.90625" style="2" customWidth="1"/>
    <col min="11278" max="11520" width="9.08984375" style="2"/>
    <col min="11521" max="11521" width="45.90625" style="2" customWidth="1"/>
    <col min="11522" max="11533" width="14.90625" style="2" customWidth="1"/>
    <col min="11534" max="11776" width="9.08984375" style="2"/>
    <col min="11777" max="11777" width="45.90625" style="2" customWidth="1"/>
    <col min="11778" max="11789" width="14.90625" style="2" customWidth="1"/>
    <col min="11790" max="12032" width="9.08984375" style="2"/>
    <col min="12033" max="12033" width="45.90625" style="2" customWidth="1"/>
    <col min="12034" max="12045" width="14.90625" style="2" customWidth="1"/>
    <col min="12046" max="12288" width="9.08984375" style="2"/>
    <col min="12289" max="12289" width="45.90625" style="2" customWidth="1"/>
    <col min="12290" max="12301" width="14.90625" style="2" customWidth="1"/>
    <col min="12302" max="12544" width="9.08984375" style="2"/>
    <col min="12545" max="12545" width="45.90625" style="2" customWidth="1"/>
    <col min="12546" max="12557" width="14.90625" style="2" customWidth="1"/>
    <col min="12558" max="12800" width="9.08984375" style="2"/>
    <col min="12801" max="12801" width="45.90625" style="2" customWidth="1"/>
    <col min="12802" max="12813" width="14.90625" style="2" customWidth="1"/>
    <col min="12814" max="13056" width="9.08984375" style="2"/>
    <col min="13057" max="13057" width="45.90625" style="2" customWidth="1"/>
    <col min="13058" max="13069" width="14.90625" style="2" customWidth="1"/>
    <col min="13070" max="13312" width="9.08984375" style="2"/>
    <col min="13313" max="13313" width="45.90625" style="2" customWidth="1"/>
    <col min="13314" max="13325" width="14.90625" style="2" customWidth="1"/>
    <col min="13326" max="13568" width="9.08984375" style="2"/>
    <col min="13569" max="13569" width="45.90625" style="2" customWidth="1"/>
    <col min="13570" max="13581" width="14.90625" style="2" customWidth="1"/>
    <col min="13582" max="13824" width="9.08984375" style="2"/>
    <col min="13825" max="13825" width="45.90625" style="2" customWidth="1"/>
    <col min="13826" max="13837" width="14.90625" style="2" customWidth="1"/>
    <col min="13838" max="14080" width="9.08984375" style="2"/>
    <col min="14081" max="14081" width="45.90625" style="2" customWidth="1"/>
    <col min="14082" max="14093" width="14.90625" style="2" customWidth="1"/>
    <col min="14094" max="14336" width="9.08984375" style="2"/>
    <col min="14337" max="14337" width="45.90625" style="2" customWidth="1"/>
    <col min="14338" max="14349" width="14.90625" style="2" customWidth="1"/>
    <col min="14350" max="14592" width="9.08984375" style="2"/>
    <col min="14593" max="14593" width="45.90625" style="2" customWidth="1"/>
    <col min="14594" max="14605" width="14.90625" style="2" customWidth="1"/>
    <col min="14606" max="14848" width="9.08984375" style="2"/>
    <col min="14849" max="14849" width="45.90625" style="2" customWidth="1"/>
    <col min="14850" max="14861" width="14.90625" style="2" customWidth="1"/>
    <col min="14862" max="15104" width="9.08984375" style="2"/>
    <col min="15105" max="15105" width="45.90625" style="2" customWidth="1"/>
    <col min="15106" max="15117" width="14.90625" style="2" customWidth="1"/>
    <col min="15118" max="15360" width="9.08984375" style="2"/>
    <col min="15361" max="15361" width="45.90625" style="2" customWidth="1"/>
    <col min="15362" max="15373" width="14.90625" style="2" customWidth="1"/>
    <col min="15374" max="15616" width="9.08984375" style="2"/>
    <col min="15617" max="15617" width="45.90625" style="2" customWidth="1"/>
    <col min="15618" max="15629" width="14.90625" style="2" customWidth="1"/>
    <col min="15630" max="15872" width="9.08984375" style="2"/>
    <col min="15873" max="15873" width="45.90625" style="2" customWidth="1"/>
    <col min="15874" max="15885" width="14.90625" style="2" customWidth="1"/>
    <col min="15886" max="16128" width="9.08984375" style="2"/>
    <col min="16129" max="16129" width="45.90625" style="2" customWidth="1"/>
    <col min="16130" max="16141" width="14.90625" style="2" customWidth="1"/>
    <col min="16142" max="16384" width="9.08984375" style="2"/>
  </cols>
  <sheetData>
    <row r="5" spans="1:249" ht="17">
      <c r="A5" s="1" t="s">
        <v>187</v>
      </c>
    </row>
    <row r="7" spans="1:249" ht="10.5">
      <c r="A7" s="3" t="s">
        <v>1</v>
      </c>
      <c r="B7" s="4" t="s">
        <v>11</v>
      </c>
      <c r="C7" s="2" t="s">
        <v>12</v>
      </c>
      <c r="D7" s="5" t="s">
        <v>4</v>
      </c>
      <c r="E7" s="4" t="s">
        <v>13</v>
      </c>
      <c r="F7" s="2" t="s">
        <v>14</v>
      </c>
    </row>
    <row r="8" spans="1:249" ht="10.5">
      <c r="A8" s="5"/>
      <c r="B8" s="4" t="s">
        <v>9</v>
      </c>
      <c r="C8" s="2" t="s">
        <v>10</v>
      </c>
      <c r="D8" s="5" t="s">
        <v>4</v>
      </c>
      <c r="E8" s="4" t="s">
        <v>15</v>
      </c>
      <c r="F8" s="2" t="s">
        <v>16</v>
      </c>
    </row>
    <row r="9" spans="1:249" ht="10.5">
      <c r="A9" s="5"/>
      <c r="B9" s="4" t="s">
        <v>17</v>
      </c>
      <c r="C9" s="6" t="s">
        <v>18</v>
      </c>
      <c r="D9" s="5" t="s">
        <v>4</v>
      </c>
      <c r="E9" s="4" t="s">
        <v>188</v>
      </c>
      <c r="F9" s="2" t="s">
        <v>189</v>
      </c>
    </row>
    <row r="12" spans="1:249">
      <c r="A12" s="7" t="s">
        <v>190</v>
      </c>
      <c r="B12" s="7"/>
      <c r="C12" s="7"/>
      <c r="D12" s="7"/>
      <c r="E12" s="7"/>
      <c r="F12" s="7"/>
      <c r="G12" s="7"/>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row>
    <row r="13" spans="1:249" ht="21">
      <c r="A13" s="9" t="s">
        <v>113</v>
      </c>
      <c r="B13" s="10" t="s">
        <v>191</v>
      </c>
      <c r="C13" s="10" t="s">
        <v>192</v>
      </c>
      <c r="D13" s="10" t="s">
        <v>193</v>
      </c>
      <c r="E13" s="10" t="s">
        <v>194</v>
      </c>
      <c r="F13" s="10" t="s">
        <v>195</v>
      </c>
      <c r="G13" s="10" t="s">
        <v>196</v>
      </c>
    </row>
    <row r="14" spans="1:249">
      <c r="A14" s="11" t="s">
        <v>24</v>
      </c>
      <c r="B14" s="12" t="s">
        <v>25</v>
      </c>
      <c r="C14" s="12" t="s">
        <v>25</v>
      </c>
      <c r="D14" s="12" t="s">
        <v>25</v>
      </c>
      <c r="E14" s="12" t="s">
        <v>25</v>
      </c>
      <c r="F14" s="12" t="s">
        <v>25</v>
      </c>
      <c r="G14" s="12" t="s">
        <v>25</v>
      </c>
    </row>
    <row r="15" spans="1:249" ht="10.5">
      <c r="A15" s="13"/>
      <c r="B15" s="5"/>
      <c r="C15" s="5"/>
      <c r="D15" s="5"/>
      <c r="E15" s="5"/>
      <c r="F15" s="5"/>
      <c r="G15" s="5"/>
    </row>
    <row r="16" spans="1:249" ht="10.5">
      <c r="A16" s="13" t="s">
        <v>197</v>
      </c>
      <c r="B16" s="14">
        <v>9697.6849999999995</v>
      </c>
      <c r="C16" s="14">
        <v>10443.540999999999</v>
      </c>
      <c r="D16" s="14">
        <v>11956.964</v>
      </c>
      <c r="E16" s="14">
        <v>13725.736999999999</v>
      </c>
      <c r="F16" s="14">
        <v>17494.082999999999</v>
      </c>
      <c r="G16" s="14">
        <v>20716.284</v>
      </c>
    </row>
    <row r="17" spans="1:7">
      <c r="A17" s="15" t="s">
        <v>198</v>
      </c>
      <c r="B17" s="16">
        <v>0.19351299999999999</v>
      </c>
      <c r="C17" s="16">
        <v>7.6910000000000006E-2</v>
      </c>
      <c r="D17" s="16">
        <v>0.14491399999999999</v>
      </c>
      <c r="E17" s="16">
        <v>0.147928</v>
      </c>
      <c r="F17" s="16">
        <v>0.27454499999999998</v>
      </c>
      <c r="G17" s="16">
        <v>0.18418799999999999</v>
      </c>
    </row>
    <row r="18" spans="1:7">
      <c r="A18" s="5"/>
      <c r="B18" s="5"/>
      <c r="C18" s="5"/>
      <c r="D18" s="5"/>
      <c r="E18" s="5"/>
      <c r="F18" s="5"/>
      <c r="G18" s="5"/>
    </row>
    <row r="19" spans="1:7" ht="10.5">
      <c r="A19" s="13" t="s">
        <v>199</v>
      </c>
      <c r="B19" s="14">
        <v>740.96100000000001</v>
      </c>
      <c r="C19" s="14">
        <v>767.03300000000002</v>
      </c>
      <c r="D19" s="14">
        <v>931.83</v>
      </c>
      <c r="E19" s="14">
        <v>1143.3209999999999</v>
      </c>
      <c r="F19" s="14">
        <v>1079.0250000000001</v>
      </c>
      <c r="G19" s="14">
        <v>1099.652</v>
      </c>
    </row>
    <row r="20" spans="1:7">
      <c r="A20" s="15" t="s">
        <v>200</v>
      </c>
      <c r="B20" s="16">
        <v>7.6405000000000001E-2</v>
      </c>
      <c r="C20" s="16">
        <v>7.3444999999999996E-2</v>
      </c>
      <c r="D20" s="16">
        <v>7.7931E-2</v>
      </c>
      <c r="E20" s="16">
        <v>8.3296999999999996E-2</v>
      </c>
      <c r="F20" s="16">
        <v>6.1678999999999998E-2</v>
      </c>
      <c r="G20" s="16">
        <v>5.3081000000000003E-2</v>
      </c>
    </row>
    <row r="21" spans="1:7">
      <c r="A21" s="5"/>
      <c r="B21" s="5"/>
      <c r="C21" s="5"/>
      <c r="D21" s="5"/>
      <c r="E21" s="5"/>
      <c r="F21" s="5"/>
      <c r="G21" s="5"/>
    </row>
    <row r="22" spans="1:7" ht="10.5">
      <c r="A22" s="13" t="s">
        <v>169</v>
      </c>
      <c r="B22" s="14">
        <v>388.48399999999998</v>
      </c>
      <c r="C22" s="14">
        <v>431.04599999999999</v>
      </c>
      <c r="D22" s="14">
        <v>495.32499999999999</v>
      </c>
      <c r="E22" s="14">
        <v>693.60699999999997</v>
      </c>
      <c r="F22" s="14">
        <v>654.65800000000002</v>
      </c>
      <c r="G22" s="14">
        <v>646.34500000000003</v>
      </c>
    </row>
    <row r="23" spans="1:7">
      <c r="A23" s="15" t="s">
        <v>200</v>
      </c>
      <c r="B23" s="16">
        <v>4.0058999999999997E-2</v>
      </c>
      <c r="C23" s="16">
        <v>4.1272999999999997E-2</v>
      </c>
      <c r="D23" s="16">
        <v>4.1424999999999997E-2</v>
      </c>
      <c r="E23" s="16">
        <v>5.0533000000000002E-2</v>
      </c>
      <c r="F23" s="16">
        <v>3.7421000000000003E-2</v>
      </c>
      <c r="G23" s="16">
        <v>3.1199000000000001E-2</v>
      </c>
    </row>
    <row r="24" spans="1:7">
      <c r="A24" s="5"/>
      <c r="B24" s="5"/>
      <c r="C24" s="5"/>
      <c r="D24" s="5"/>
      <c r="E24" s="5"/>
      <c r="F24" s="5"/>
      <c r="G24" s="5"/>
    </row>
    <row r="25" spans="1:7" ht="10.5">
      <c r="A25" s="13" t="s">
        <v>171</v>
      </c>
      <c r="B25" s="14">
        <v>242.97300000000001</v>
      </c>
      <c r="C25" s="14">
        <v>276.74299999999999</v>
      </c>
      <c r="D25" s="14">
        <v>326.15499999999997</v>
      </c>
      <c r="E25" s="14">
        <v>506.858</v>
      </c>
      <c r="F25" s="14">
        <v>448.04199999999997</v>
      </c>
      <c r="G25" s="14">
        <v>419.73599999999999</v>
      </c>
    </row>
    <row r="26" spans="1:7">
      <c r="A26" s="15" t="s">
        <v>200</v>
      </c>
      <c r="B26" s="16">
        <v>2.5054E-2</v>
      </c>
      <c r="C26" s="16">
        <v>2.6498000000000001E-2</v>
      </c>
      <c r="D26" s="16">
        <v>2.7276999999999999E-2</v>
      </c>
      <c r="E26" s="16">
        <v>3.6927000000000001E-2</v>
      </c>
      <c r="F26" s="16">
        <v>2.5610999999999998E-2</v>
      </c>
      <c r="G26" s="16">
        <v>2.0261000000000001E-2</v>
      </c>
    </row>
    <row r="27" spans="1:7">
      <c r="A27" s="5"/>
      <c r="B27" s="5"/>
      <c r="C27" s="5"/>
      <c r="D27" s="5"/>
      <c r="E27" s="5"/>
      <c r="F27" s="5"/>
      <c r="G27" s="5"/>
    </row>
    <row r="28" spans="1:7" ht="10.5">
      <c r="A28" s="13" t="s">
        <v>201</v>
      </c>
      <c r="B28" s="14">
        <v>160.73599999999999</v>
      </c>
      <c r="C28" s="14">
        <v>191.66300000000001</v>
      </c>
      <c r="D28" s="14">
        <v>229.14400000000001</v>
      </c>
      <c r="E28" s="14">
        <v>327.84399999999999</v>
      </c>
      <c r="F28" s="14">
        <v>299.22000000000003</v>
      </c>
      <c r="G28" s="14">
        <v>135.92699999999999</v>
      </c>
    </row>
    <row r="29" spans="1:7">
      <c r="A29" s="15" t="s">
        <v>200</v>
      </c>
      <c r="B29" s="16">
        <v>1.6573999999999998E-2</v>
      </c>
      <c r="C29" s="16">
        <v>1.8352E-2</v>
      </c>
      <c r="D29" s="16">
        <v>1.9164E-2</v>
      </c>
      <c r="E29" s="16">
        <v>2.3885E-2</v>
      </c>
      <c r="F29" s="16">
        <v>1.7104000000000001E-2</v>
      </c>
      <c r="G29" s="16">
        <v>6.561E-3</v>
      </c>
    </row>
    <row r="30" spans="1:7">
      <c r="A30" s="5"/>
      <c r="B30" s="5"/>
      <c r="C30" s="5"/>
      <c r="D30" s="5"/>
      <c r="E30" s="5"/>
      <c r="F30" s="5"/>
      <c r="G30" s="5"/>
    </row>
    <row r="31" spans="1:7" ht="10.5">
      <c r="A31" s="13" t="s">
        <v>202</v>
      </c>
      <c r="B31" s="14">
        <v>169.22499999999999</v>
      </c>
      <c r="C31" s="14">
        <v>130.72399999999999</v>
      </c>
      <c r="D31" s="14">
        <v>211.94300000000001</v>
      </c>
      <c r="E31" s="14">
        <v>316.98399999999998</v>
      </c>
      <c r="F31" s="14">
        <v>287.791</v>
      </c>
      <c r="G31" s="14">
        <v>130.53</v>
      </c>
    </row>
    <row r="32" spans="1:7">
      <c r="A32" s="15" t="s">
        <v>200</v>
      </c>
      <c r="B32" s="16">
        <v>1.745E-2</v>
      </c>
      <c r="C32" s="16">
        <v>1.2517E-2</v>
      </c>
      <c r="D32" s="16">
        <v>1.7725000000000001E-2</v>
      </c>
      <c r="E32" s="16">
        <v>2.3094E-2</v>
      </c>
      <c r="F32" s="16">
        <v>1.6449999999999999E-2</v>
      </c>
      <c r="G32" s="16">
        <v>6.3E-3</v>
      </c>
    </row>
    <row r="33" spans="1:255">
      <c r="A33" s="5"/>
      <c r="B33" s="5"/>
      <c r="C33" s="5"/>
      <c r="D33" s="5"/>
      <c r="E33" s="5"/>
      <c r="F33" s="5"/>
      <c r="G33" s="5"/>
    </row>
    <row r="34" spans="1:255" ht="10.5">
      <c r="A34" s="13" t="s">
        <v>203</v>
      </c>
      <c r="B34" s="17">
        <v>0.70451200000000003</v>
      </c>
      <c r="C34" s="17">
        <v>0.82499999999999996</v>
      </c>
      <c r="D34" s="17">
        <v>0.96999900000000006</v>
      </c>
      <c r="E34" s="17">
        <v>1.31</v>
      </c>
      <c r="F34" s="17">
        <v>1.189999</v>
      </c>
      <c r="G34" s="17">
        <v>0.54</v>
      </c>
    </row>
    <row r="35" spans="1:255">
      <c r="A35" s="15" t="s">
        <v>198</v>
      </c>
      <c r="B35" s="16">
        <v>-2.1512E-2</v>
      </c>
      <c r="C35" s="16">
        <v>0.17102300000000001</v>
      </c>
      <c r="D35" s="16">
        <v>0.175756</v>
      </c>
      <c r="E35" s="16">
        <v>0.35051599999999999</v>
      </c>
      <c r="F35" s="16">
        <v>-9.1604000000000005E-2</v>
      </c>
      <c r="G35" s="16">
        <v>-0.54621900000000001</v>
      </c>
    </row>
    <row r="36" spans="1:255">
      <c r="A36" s="5"/>
      <c r="B36" s="5"/>
      <c r="C36" s="5"/>
      <c r="D36" s="5"/>
      <c r="E36" s="5"/>
      <c r="F36" s="5"/>
      <c r="G36" s="5"/>
    </row>
    <row r="37" spans="1:255">
      <c r="A37" s="5"/>
      <c r="B37" s="5" t="s">
        <v>105</v>
      </c>
      <c r="C37" s="5" t="s">
        <v>105</v>
      </c>
      <c r="D37" s="5" t="s">
        <v>105</v>
      </c>
      <c r="E37" s="5" t="s">
        <v>105</v>
      </c>
      <c r="F37" s="5" t="s">
        <v>105</v>
      </c>
      <c r="G37" s="5" t="s">
        <v>105</v>
      </c>
    </row>
    <row r="38" spans="1:255">
      <c r="A38" s="5" t="s">
        <v>24</v>
      </c>
      <c r="B38" s="18" t="s">
        <v>25</v>
      </c>
      <c r="C38" s="18" t="s">
        <v>25</v>
      </c>
      <c r="D38" s="18" t="s">
        <v>25</v>
      </c>
      <c r="E38" s="18" t="s">
        <v>25</v>
      </c>
      <c r="F38" s="18" t="s">
        <v>25</v>
      </c>
      <c r="G38" s="18" t="s">
        <v>25</v>
      </c>
    </row>
    <row r="39" spans="1:255">
      <c r="A39" s="5" t="s">
        <v>106</v>
      </c>
      <c r="B39" s="19">
        <v>1</v>
      </c>
      <c r="C39" s="19">
        <v>1</v>
      </c>
      <c r="D39" s="19">
        <v>1</v>
      </c>
      <c r="E39" s="19">
        <v>1</v>
      </c>
      <c r="F39" s="19">
        <v>1</v>
      </c>
      <c r="G39" s="19">
        <v>1</v>
      </c>
    </row>
    <row r="40" spans="1:255">
      <c r="A40" s="5" t="s">
        <v>107</v>
      </c>
      <c r="B40" s="18" t="s">
        <v>108</v>
      </c>
      <c r="C40" s="18" t="s">
        <v>108</v>
      </c>
      <c r="D40" s="18" t="s">
        <v>108</v>
      </c>
      <c r="E40" s="18" t="s">
        <v>108</v>
      </c>
      <c r="F40" s="18" t="s">
        <v>108</v>
      </c>
      <c r="G40" s="18" t="s">
        <v>108</v>
      </c>
    </row>
    <row r="41" spans="1:255">
      <c r="A41" s="20"/>
      <c r="B41" s="20"/>
      <c r="C41" s="20"/>
      <c r="D41" s="20"/>
      <c r="E41" s="20"/>
      <c r="F41" s="20"/>
      <c r="G41" s="20"/>
      <c r="H41" s="20"/>
      <c r="I41" s="20"/>
      <c r="J41" s="20"/>
      <c r="K41" s="20"/>
      <c r="L41" s="20"/>
      <c r="M41" s="20"/>
    </row>
    <row r="42" spans="1:255">
      <c r="A42" s="2" t="s">
        <v>204</v>
      </c>
    </row>
    <row r="43" spans="1:255">
      <c r="A43" s="2" t="s">
        <v>205</v>
      </c>
    </row>
    <row r="44" spans="1:255">
      <c r="A44" s="2" t="s">
        <v>206</v>
      </c>
    </row>
    <row r="45" spans="1:255">
      <c r="A45" s="2" t="s">
        <v>207</v>
      </c>
    </row>
    <row r="46" spans="1:255">
      <c r="A46" s="2" t="s">
        <v>208</v>
      </c>
    </row>
    <row r="48" spans="1:255">
      <c r="A48" s="7" t="s">
        <v>209</v>
      </c>
      <c r="B48" s="7"/>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row>
    <row r="49" spans="1:2">
      <c r="A49" s="11" t="s">
        <v>24</v>
      </c>
      <c r="B49" s="12" t="s">
        <v>25</v>
      </c>
    </row>
    <row r="50" spans="1:2">
      <c r="A50" s="5" t="s">
        <v>210</v>
      </c>
      <c r="B50" s="21">
        <v>59.5</v>
      </c>
    </row>
    <row r="51" spans="1:2">
      <c r="A51" s="5" t="s">
        <v>211</v>
      </c>
      <c r="B51" s="19">
        <v>240.57623000000001</v>
      </c>
    </row>
    <row r="52" spans="1:2">
      <c r="A52" s="5"/>
      <c r="B52" s="5"/>
    </row>
    <row r="53" spans="1:2" ht="10.5">
      <c r="A53" s="13" t="s">
        <v>212</v>
      </c>
      <c r="B53" s="14">
        <v>14314.285685000001</v>
      </c>
    </row>
    <row r="54" spans="1:2">
      <c r="A54" s="5" t="s">
        <v>213</v>
      </c>
      <c r="B54" s="19">
        <v>1188.9000000000001</v>
      </c>
    </row>
    <row r="55" spans="1:2">
      <c r="A55" s="5" t="s">
        <v>214</v>
      </c>
      <c r="B55" s="19">
        <v>2229.4</v>
      </c>
    </row>
    <row r="56" spans="1:2">
      <c r="A56" s="5" t="s">
        <v>215</v>
      </c>
      <c r="B56" s="19" t="s">
        <v>29</v>
      </c>
    </row>
    <row r="57" spans="1:2">
      <c r="A57" s="5" t="s">
        <v>216</v>
      </c>
      <c r="B57" s="19">
        <v>71</v>
      </c>
    </row>
    <row r="58" spans="1:2">
      <c r="A58" s="5" t="s">
        <v>217</v>
      </c>
      <c r="B58" s="19" t="s">
        <v>29</v>
      </c>
    </row>
    <row r="59" spans="1:2" ht="10.5">
      <c r="A59" s="13" t="s">
        <v>218</v>
      </c>
      <c r="B59" s="14">
        <v>15425.785685000001</v>
      </c>
    </row>
    <row r="60" spans="1:2">
      <c r="A60" s="5"/>
      <c r="B60" s="5"/>
    </row>
    <row r="61" spans="1:2">
      <c r="A61" s="5" t="s">
        <v>219</v>
      </c>
      <c r="B61" s="19">
        <v>2881.8</v>
      </c>
    </row>
    <row r="62" spans="1:2">
      <c r="A62" s="5" t="s">
        <v>215</v>
      </c>
      <c r="B62" s="19" t="s">
        <v>29</v>
      </c>
    </row>
    <row r="63" spans="1:2">
      <c r="A63" s="5" t="s">
        <v>216</v>
      </c>
      <c r="B63" s="19">
        <v>71</v>
      </c>
    </row>
    <row r="64" spans="1:2">
      <c r="A64" s="5" t="s">
        <v>214</v>
      </c>
      <c r="B64" s="19">
        <v>2229.4</v>
      </c>
    </row>
    <row r="65" spans="1:255" ht="10.5">
      <c r="A65" s="13" t="s">
        <v>220</v>
      </c>
      <c r="B65" s="14">
        <v>5182.2</v>
      </c>
    </row>
    <row r="66" spans="1:255">
      <c r="A66" s="5"/>
      <c r="B66" s="5"/>
    </row>
    <row r="67" spans="1:255" ht="60">
      <c r="A67" s="20" t="s">
        <v>221</v>
      </c>
      <c r="B67" s="20"/>
    </row>
    <row r="69" spans="1:255" ht="200.15" customHeight="1">
      <c r="A69" s="22"/>
    </row>
    <row r="71" spans="1:255">
      <c r="A71" s="2" t="s">
        <v>222</v>
      </c>
    </row>
    <row r="72" spans="1:255">
      <c r="A72" s="2" t="s">
        <v>223</v>
      </c>
    </row>
    <row r="73" spans="1:255">
      <c r="A73" s="2" t="s">
        <v>224</v>
      </c>
    </row>
    <row r="74" spans="1:255">
      <c r="A74" s="2" t="s">
        <v>225</v>
      </c>
    </row>
    <row r="76" spans="1:255">
      <c r="A76" s="7" t="s">
        <v>226</v>
      </c>
      <c r="B76" s="7"/>
      <c r="C76" s="7"/>
      <c r="D76" s="7"/>
      <c r="E76" s="7"/>
      <c r="F76" s="7"/>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c r="HO76" s="8"/>
      <c r="HP76" s="8"/>
      <c r="HQ76" s="8"/>
      <c r="HR76" s="8"/>
      <c r="HS76" s="8"/>
      <c r="HT76" s="8"/>
      <c r="HU76" s="8"/>
      <c r="HV76" s="8"/>
      <c r="HW76" s="8"/>
      <c r="HX76" s="8"/>
      <c r="HY76" s="8"/>
      <c r="HZ76" s="8"/>
      <c r="IA76" s="8"/>
      <c r="IB76" s="8"/>
      <c r="IC76" s="8"/>
      <c r="ID76" s="8"/>
      <c r="IE76" s="8"/>
      <c r="IF76" s="8"/>
      <c r="IG76" s="8"/>
      <c r="IH76" s="8"/>
      <c r="II76" s="8"/>
      <c r="IJ76" s="8"/>
      <c r="IK76" s="8"/>
      <c r="IL76" s="8"/>
      <c r="IM76" s="8"/>
      <c r="IN76" s="8"/>
      <c r="IO76" s="8"/>
      <c r="IP76" s="8"/>
      <c r="IQ76" s="8"/>
      <c r="IR76" s="8"/>
      <c r="IS76" s="8"/>
      <c r="IT76" s="8"/>
      <c r="IU76" s="8"/>
    </row>
    <row r="77" spans="1:255" ht="31.5">
      <c r="A77" s="9" t="s">
        <v>113</v>
      </c>
      <c r="B77" s="10" t="s">
        <v>196</v>
      </c>
      <c r="C77" s="10" t="s">
        <v>227</v>
      </c>
      <c r="D77" s="10" t="s">
        <v>228</v>
      </c>
      <c r="E77" s="10" t="s">
        <v>229</v>
      </c>
      <c r="F77" s="10" t="s">
        <v>230</v>
      </c>
    </row>
    <row r="78" spans="1:255" ht="10.5">
      <c r="A78" s="13" t="s">
        <v>231</v>
      </c>
      <c r="B78" s="23">
        <v>0.76234599999999997</v>
      </c>
      <c r="C78" s="23">
        <v>0.65845900000000002</v>
      </c>
      <c r="D78" s="24">
        <v>3.7027411289019998</v>
      </c>
      <c r="E78" s="24">
        <v>3.499997743552</v>
      </c>
      <c r="F78" s="24">
        <v>3.2184484858569999</v>
      </c>
    </row>
    <row r="79" spans="1:255">
      <c r="A79" s="5"/>
      <c r="B79" s="5"/>
      <c r="C79" s="5"/>
      <c r="D79" s="5"/>
      <c r="E79" s="5"/>
      <c r="F79" s="5"/>
    </row>
    <row r="80" spans="1:255" ht="10.5">
      <c r="A80" s="13" t="s">
        <v>232</v>
      </c>
      <c r="B80" s="23">
        <v>23.879194999999999</v>
      </c>
      <c r="C80" s="23">
        <v>14.676268</v>
      </c>
      <c r="D80" s="24">
        <v>11.659400906927999</v>
      </c>
      <c r="E80" s="24">
        <v>12.687611791289999</v>
      </c>
      <c r="F80" s="24">
        <v>12.233582062499</v>
      </c>
    </row>
    <row r="81" spans="1:6">
      <c r="A81" s="5"/>
      <c r="B81" s="5"/>
      <c r="C81" s="5"/>
      <c r="D81" s="5"/>
      <c r="E81" s="5"/>
      <c r="F81" s="5"/>
    </row>
    <row r="82" spans="1:6" ht="10.5">
      <c r="A82" s="13" t="s">
        <v>233</v>
      </c>
      <c r="B82" s="23">
        <v>38.110114000000003</v>
      </c>
      <c r="C82" s="23">
        <v>18.585194000000001</v>
      </c>
      <c r="D82" s="24">
        <v>14.964237715447</v>
      </c>
      <c r="E82" s="24">
        <v>17.237370012126998</v>
      </c>
      <c r="F82" s="24">
        <v>16.694387337396002</v>
      </c>
    </row>
    <row r="83" spans="1:6">
      <c r="A83" s="5"/>
      <c r="B83" s="5"/>
      <c r="C83" s="5"/>
      <c r="D83" s="5"/>
      <c r="E83" s="5"/>
      <c r="F83" s="5"/>
    </row>
    <row r="84" spans="1:6" ht="10.5">
      <c r="A84" s="13" t="s">
        <v>234</v>
      </c>
      <c r="B84" s="23">
        <v>110.185185</v>
      </c>
      <c r="C84" s="23">
        <v>32.857424999999999</v>
      </c>
      <c r="D84" s="24">
        <v>20.657498672018001</v>
      </c>
      <c r="E84" s="24">
        <v>23.605397106256</v>
      </c>
      <c r="F84" s="24">
        <v>23.147877981505001</v>
      </c>
    </row>
    <row r="85" spans="1:6">
      <c r="A85" s="5"/>
      <c r="B85" s="5"/>
      <c r="C85" s="5"/>
      <c r="D85" s="5"/>
      <c r="E85" s="5"/>
      <c r="F85" s="5"/>
    </row>
    <row r="86" spans="1:6" ht="10.5">
      <c r="A86" s="13" t="s">
        <v>235</v>
      </c>
      <c r="B86" s="23">
        <v>5.5997760000000003</v>
      </c>
      <c r="C86" s="23">
        <v>4.9671329999999996</v>
      </c>
      <c r="D86" s="24">
        <v>4.7400614057029999</v>
      </c>
      <c r="E86" s="24">
        <v>4.1912240698829999</v>
      </c>
      <c r="F86" s="24">
        <v>3.785288270378</v>
      </c>
    </row>
    <row r="87" spans="1:6">
      <c r="A87" s="5"/>
      <c r="B87" s="5"/>
      <c r="C87" s="5"/>
      <c r="D87" s="5"/>
      <c r="E87" s="5"/>
      <c r="F87" s="5"/>
    </row>
    <row r="88" spans="1:6" ht="10.5">
      <c r="A88" s="13" t="s">
        <v>236</v>
      </c>
      <c r="B88" s="23">
        <v>6.3676459999999997</v>
      </c>
      <c r="C88" s="23">
        <v>5.6404310000000004</v>
      </c>
      <c r="D88" s="18" t="s">
        <v>29</v>
      </c>
      <c r="E88" s="18" t="s">
        <v>29</v>
      </c>
      <c r="F88" s="18" t="s">
        <v>29</v>
      </c>
    </row>
    <row r="89" spans="1:6">
      <c r="A89" s="5"/>
      <c r="B89" s="5"/>
      <c r="C89" s="5"/>
      <c r="D89" s="5"/>
      <c r="E89" s="5"/>
      <c r="F89" s="5"/>
    </row>
    <row r="90" spans="1:6">
      <c r="A90" s="20"/>
      <c r="B90" s="20"/>
      <c r="C90" s="20"/>
      <c r="D90" s="20"/>
      <c r="E90" s="20"/>
      <c r="F90" s="20"/>
    </row>
    <row r="91" spans="1:6">
      <c r="A91" s="25" t="s">
        <v>110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5EF8D-6F09-4368-858A-C4B7E3019EBD}">
  <sheetPr>
    <tabColor theme="0" tint="-0.249977111117893"/>
  </sheetPr>
  <dimension ref="B2:P15"/>
  <sheetViews>
    <sheetView zoomScale="85" zoomScaleNormal="85" workbookViewId="0">
      <selection activeCell="G13" sqref="G13:L13"/>
    </sheetView>
  </sheetViews>
  <sheetFormatPr baseColWidth="10" defaultColWidth="8.90625" defaultRowHeight="15.5"/>
  <cols>
    <col min="1" max="2" width="8.90625" style="39"/>
    <col min="3" max="4" width="8.90625" style="39" customWidth="1"/>
    <col min="5" max="5" width="9.08984375" style="39" customWidth="1"/>
    <col min="6" max="6" width="34.54296875" style="39" bestFit="1" customWidth="1"/>
    <col min="7" max="12" width="8.90625" style="39"/>
    <col min="13" max="13" width="9.08984375" style="39" bestFit="1" customWidth="1"/>
    <col min="14" max="16384" width="8.90625" style="39"/>
  </cols>
  <sheetData>
    <row r="2" spans="2:16" ht="16" thickBot="1">
      <c r="B2" s="319"/>
      <c r="C2" s="319"/>
      <c r="D2" s="319"/>
      <c r="E2" s="319"/>
      <c r="F2" s="319"/>
      <c r="G2" s="319"/>
      <c r="H2" s="319"/>
      <c r="I2" s="319"/>
      <c r="J2" s="319"/>
      <c r="K2" s="319"/>
      <c r="L2" s="319"/>
      <c r="M2" s="319"/>
      <c r="N2" s="319"/>
      <c r="O2" s="319"/>
      <c r="P2" s="319"/>
    </row>
    <row r="3" spans="2:16">
      <c r="B3" s="125"/>
      <c r="C3" s="88" t="s">
        <v>237</v>
      </c>
      <c r="D3" s="126"/>
      <c r="E3" s="319"/>
      <c r="F3" s="125" t="s">
        <v>238</v>
      </c>
      <c r="G3" s="109">
        <v>2015</v>
      </c>
      <c r="H3" s="109">
        <f>G3+1</f>
        <v>2016</v>
      </c>
      <c r="I3" s="109">
        <f t="shared" ref="I3:L3" si="0">H3+1</f>
        <v>2017</v>
      </c>
      <c r="J3" s="109">
        <f t="shared" si="0"/>
        <v>2018</v>
      </c>
      <c r="K3" s="109">
        <f t="shared" si="0"/>
        <v>2019</v>
      </c>
      <c r="L3" s="110">
        <f t="shared" si="0"/>
        <v>2020</v>
      </c>
      <c r="M3" s="319"/>
      <c r="N3" s="319"/>
      <c r="O3" s="319"/>
      <c r="P3" s="319"/>
    </row>
    <row r="4" spans="2:16">
      <c r="B4" s="644" t="s">
        <v>239</v>
      </c>
      <c r="C4" s="645"/>
      <c r="D4" s="646"/>
      <c r="E4" s="319"/>
      <c r="F4" s="140" t="s">
        <v>240</v>
      </c>
      <c r="G4" s="171"/>
      <c r="H4" s="172"/>
      <c r="I4" s="172"/>
      <c r="J4" s="172"/>
      <c r="K4" s="172"/>
      <c r="L4" s="173"/>
      <c r="M4" s="319"/>
      <c r="N4" s="319"/>
      <c r="O4" s="319"/>
      <c r="P4" s="319"/>
    </row>
    <row r="5" spans="2:16">
      <c r="B5" s="644" t="s">
        <v>21</v>
      </c>
      <c r="C5" s="645"/>
      <c r="D5" s="646"/>
      <c r="E5" s="319"/>
      <c r="F5" s="320" t="s">
        <v>241</v>
      </c>
      <c r="G5" s="321">
        <v>6487.3081378517218</v>
      </c>
      <c r="H5" s="322">
        <v>6726.8804726175922</v>
      </c>
      <c r="I5" s="322">
        <v>6975.3000676593056</v>
      </c>
      <c r="J5" s="322">
        <v>7232.8936469054206</v>
      </c>
      <c r="K5" s="322">
        <v>7500</v>
      </c>
      <c r="L5" s="323">
        <v>5300</v>
      </c>
      <c r="M5" s="319"/>
      <c r="N5" s="319"/>
      <c r="O5" s="324"/>
      <c r="P5" s="324"/>
    </row>
    <row r="6" spans="2:16">
      <c r="B6" s="644" t="s">
        <v>242</v>
      </c>
      <c r="C6" s="645"/>
      <c r="D6" s="646"/>
      <c r="E6" s="319"/>
      <c r="F6" s="325" t="s">
        <v>243</v>
      </c>
      <c r="G6" s="326">
        <v>3218.8665034551714</v>
      </c>
      <c r="H6" s="327">
        <v>3682.788866336617</v>
      </c>
      <c r="I6" s="327">
        <v>4360.8860596707818</v>
      </c>
      <c r="J6" s="327">
        <v>5288.162294238683</v>
      </c>
      <c r="K6" s="327">
        <v>5617.4125514403286</v>
      </c>
      <c r="L6" s="328">
        <v>6531.25</v>
      </c>
      <c r="M6" s="319"/>
      <c r="N6" s="319"/>
      <c r="O6" s="324"/>
      <c r="P6" s="324"/>
    </row>
    <row r="7" spans="2:16">
      <c r="B7" s="644" t="s">
        <v>112</v>
      </c>
      <c r="C7" s="645"/>
      <c r="D7" s="646"/>
      <c r="E7" s="319"/>
      <c r="F7" s="141" t="s">
        <v>244</v>
      </c>
      <c r="G7" s="174">
        <v>1</v>
      </c>
      <c r="H7" s="142">
        <v>0.96696334288731334</v>
      </c>
      <c r="I7" s="142">
        <v>0.98054005128978738</v>
      </c>
      <c r="J7" s="142">
        <v>0.94433549554985674</v>
      </c>
      <c r="K7" s="142">
        <v>1.027304269120531</v>
      </c>
      <c r="L7" s="143">
        <v>1.2611253582742497</v>
      </c>
      <c r="M7" s="46" t="s">
        <v>245</v>
      </c>
      <c r="N7" s="319"/>
      <c r="O7" s="324"/>
      <c r="P7" s="319"/>
    </row>
    <row r="8" spans="2:16">
      <c r="B8" s="644" t="s">
        <v>246</v>
      </c>
      <c r="C8" s="645"/>
      <c r="D8" s="646"/>
      <c r="E8" s="319"/>
      <c r="F8" s="329"/>
      <c r="G8" s="330"/>
      <c r="H8" s="319"/>
      <c r="I8" s="319"/>
      <c r="J8" s="319"/>
      <c r="K8" s="319"/>
      <c r="L8" s="331"/>
      <c r="M8" s="319"/>
      <c r="N8" s="319"/>
      <c r="O8" s="319"/>
      <c r="P8" s="319"/>
    </row>
    <row r="9" spans="2:16">
      <c r="B9" s="644" t="s">
        <v>247</v>
      </c>
      <c r="C9" s="645"/>
      <c r="D9" s="646"/>
      <c r="E9" s="319"/>
      <c r="F9" s="140" t="s">
        <v>248</v>
      </c>
      <c r="G9" s="175"/>
      <c r="H9" s="45"/>
      <c r="I9" s="45"/>
      <c r="J9" s="45"/>
      <c r="K9" s="45"/>
      <c r="L9" s="144"/>
      <c r="M9" s="319"/>
      <c r="N9" s="319"/>
      <c r="O9" s="319"/>
      <c r="P9" s="319"/>
    </row>
    <row r="10" spans="2:16">
      <c r="B10" s="644" t="s">
        <v>249</v>
      </c>
      <c r="C10" s="645"/>
      <c r="D10" s="646"/>
      <c r="E10" s="319"/>
      <c r="F10" s="329"/>
      <c r="G10" s="332"/>
      <c r="H10" s="333"/>
      <c r="I10" s="333"/>
      <c r="J10" s="333"/>
      <c r="K10" s="333"/>
      <c r="L10" s="334"/>
      <c r="M10" s="319"/>
      <c r="N10" s="319"/>
      <c r="O10" s="319"/>
      <c r="P10" s="319"/>
    </row>
    <row r="11" spans="2:16">
      <c r="B11" s="644" t="s">
        <v>250</v>
      </c>
      <c r="C11" s="645"/>
      <c r="D11" s="646"/>
      <c r="E11" s="319"/>
      <c r="F11" s="335" t="s">
        <v>241</v>
      </c>
      <c r="G11" s="336">
        <v>0.16859072773475192</v>
      </c>
      <c r="H11" s="324">
        <v>0.17288845918016565</v>
      </c>
      <c r="I11" s="324">
        <v>0.17963384913137764</v>
      </c>
      <c r="J11" s="324">
        <v>0.18802986278968353</v>
      </c>
      <c r="K11" s="324">
        <v>0.19466666666666665</v>
      </c>
      <c r="L11" s="337">
        <v>0.25735849056603771</v>
      </c>
      <c r="M11" s="319"/>
      <c r="N11" s="319"/>
      <c r="O11" s="324"/>
      <c r="P11" s="319"/>
    </row>
    <row r="12" spans="2:16">
      <c r="B12" s="644" t="s">
        <v>251</v>
      </c>
      <c r="C12" s="645"/>
      <c r="D12" s="646"/>
      <c r="E12" s="319"/>
      <c r="F12" s="329" t="s">
        <v>243</v>
      </c>
      <c r="G12" s="338">
        <v>0.18233126455229323</v>
      </c>
      <c r="H12" s="339">
        <v>0.16563534379498265</v>
      </c>
      <c r="I12" s="339">
        <v>0.20500420964162752</v>
      </c>
      <c r="J12" s="339">
        <v>0.24375197436817178</v>
      </c>
      <c r="K12" s="339">
        <v>0.21807193058766972</v>
      </c>
      <c r="L12" s="340">
        <v>0.16</v>
      </c>
      <c r="M12" s="319"/>
      <c r="N12" s="319"/>
      <c r="O12" s="324"/>
      <c r="P12" s="319"/>
    </row>
    <row r="13" spans="2:16" ht="16" thickBot="1">
      <c r="B13" s="644" t="s">
        <v>252</v>
      </c>
      <c r="C13" s="645"/>
      <c r="D13" s="646"/>
      <c r="E13" s="319"/>
      <c r="F13" s="145" t="s">
        <v>244</v>
      </c>
      <c r="G13" s="641" t="s">
        <v>253</v>
      </c>
      <c r="H13" s="642"/>
      <c r="I13" s="642"/>
      <c r="J13" s="642"/>
      <c r="K13" s="642"/>
      <c r="L13" s="643"/>
      <c r="M13" s="319"/>
      <c r="N13" s="319"/>
      <c r="O13" s="324"/>
      <c r="P13" s="319"/>
    </row>
    <row r="14" spans="2:16">
      <c r="B14" s="644" t="s">
        <v>254</v>
      </c>
      <c r="C14" s="645"/>
      <c r="D14" s="646"/>
      <c r="E14" s="319"/>
      <c r="F14" s="319"/>
      <c r="G14" s="319"/>
      <c r="H14" s="319"/>
      <c r="I14" s="319"/>
      <c r="J14" s="319"/>
      <c r="K14" s="319"/>
      <c r="L14" s="319"/>
      <c r="M14" s="319"/>
      <c r="N14" s="319"/>
      <c r="O14" s="319"/>
      <c r="P14" s="319"/>
    </row>
    <row r="15" spans="2:16" ht="16" thickBot="1">
      <c r="B15" s="638" t="s">
        <v>255</v>
      </c>
      <c r="C15" s="639"/>
      <c r="D15" s="640"/>
      <c r="E15" s="319"/>
      <c r="F15" s="319" t="s">
        <v>256</v>
      </c>
      <c r="G15" s="319"/>
      <c r="H15" s="319"/>
      <c r="I15" s="319"/>
      <c r="J15" s="319"/>
      <c r="K15" s="319"/>
      <c r="L15" s="319"/>
      <c r="M15" s="319"/>
      <c r="N15" s="319"/>
      <c r="O15" s="319"/>
      <c r="P15" s="319"/>
    </row>
  </sheetData>
  <mergeCells count="13">
    <mergeCell ref="B15:D15"/>
    <mergeCell ref="G13:L13"/>
    <mergeCell ref="B4:D4"/>
    <mergeCell ref="B5:D5"/>
    <mergeCell ref="B6:D6"/>
    <mergeCell ref="B7:D7"/>
    <mergeCell ref="B8:D8"/>
    <mergeCell ref="B9:D9"/>
    <mergeCell ref="B10:D10"/>
    <mergeCell ref="B11:D11"/>
    <mergeCell ref="B12:D12"/>
    <mergeCell ref="B13:D13"/>
    <mergeCell ref="B14:D14"/>
  </mergeCells>
  <hyperlinks>
    <hyperlink ref="B4:D4" location="'Forecasted BS'!A1" display="Forecasted BS" xr:uid="{1E34763E-6E36-4566-96F9-3F3A529C9BA1}"/>
    <hyperlink ref="B5:D5" location="'Balance sheet'!A1" display="Balance Sheet" xr:uid="{DB2D43B2-2A12-40B4-AA84-53E6400B7568}"/>
    <hyperlink ref="B6:D6" location="'Forecasted IS'!A1" display="Forecasted IS" xr:uid="{DFA8BF8E-F0FB-4491-A86E-0687720FA33A}"/>
    <hyperlink ref="B7:D7" location="'Income Statement'!A1" display="Income Statement" xr:uid="{A87E5865-F811-4597-8870-EE5B41BB0794}"/>
    <hyperlink ref="B8:D8" location="'Market data'!A1" display="Market Data" xr:uid="{F9DE985F-F764-44A7-BD37-3330CE78D76D}"/>
    <hyperlink ref="B9:D9" location="'Key stats'!A1" display="Key Stat" xr:uid="{163A76B0-01B0-4BEE-A70E-A995F82907A1}"/>
    <hyperlink ref="B10:D10" location="'Cash Flow'!A1" display="Cash Flow" xr:uid="{0B1E52DD-A80D-4736-9C75-CD2EAA42DF4E}"/>
    <hyperlink ref="B11:D11" location="'Solution-FCFs'!A1" display="Solutions FCFs" xr:uid="{13578AC6-BA9C-499E-B9CF-726F73329EBF}"/>
    <hyperlink ref="B12:D12" location="WACC!A1" display="WACC" xr:uid="{CED7A873-513F-4BAF-80AC-8CFEE7A13007}"/>
    <hyperlink ref="B13:D13" location="Segments!A1" display="Segments" xr:uid="{71CE92D0-8F79-44CB-841D-29E243F894ED}"/>
    <hyperlink ref="B14:D14" location="TV!A1" display="TV" xr:uid="{55EAAD94-5008-44C4-98A4-FADCB805DA5B}"/>
    <hyperlink ref="B15:D15" location="'sensitivity analysis'!A1" display="Sensitivity analysis" xr:uid="{83CF723D-7778-4974-9F10-3D845F2F6776}"/>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8D14-70CE-4C2C-ACB0-EE33941F10DB}">
  <sheetPr>
    <tabColor theme="0" tint="-0.34998626667073579"/>
  </sheetPr>
  <dimension ref="A5:IO120"/>
  <sheetViews>
    <sheetView workbookViewId="0">
      <selection activeCell="G65" sqref="G65"/>
    </sheetView>
  </sheetViews>
  <sheetFormatPr baseColWidth="10" defaultColWidth="8.54296875" defaultRowHeight="10"/>
  <cols>
    <col min="1" max="1" width="45.90625" style="2" customWidth="1"/>
    <col min="2" max="13" width="14.90625" style="2" customWidth="1"/>
    <col min="14" max="256" width="9.08984375" style="2"/>
    <col min="257" max="257" width="45.90625" style="2" customWidth="1"/>
    <col min="258" max="269" width="14.90625" style="2" customWidth="1"/>
    <col min="270" max="512" width="9.08984375" style="2"/>
    <col min="513" max="513" width="45.90625" style="2" customWidth="1"/>
    <col min="514" max="525" width="14.90625" style="2" customWidth="1"/>
    <col min="526" max="768" width="9.08984375" style="2"/>
    <col min="769" max="769" width="45.90625" style="2" customWidth="1"/>
    <col min="770" max="781" width="14.90625" style="2" customWidth="1"/>
    <col min="782" max="1024" width="9.08984375" style="2"/>
    <col min="1025" max="1025" width="45.90625" style="2" customWidth="1"/>
    <col min="1026" max="1037" width="14.90625" style="2" customWidth="1"/>
    <col min="1038" max="1280" width="9.08984375" style="2"/>
    <col min="1281" max="1281" width="45.90625" style="2" customWidth="1"/>
    <col min="1282" max="1293" width="14.90625" style="2" customWidth="1"/>
    <col min="1294" max="1536" width="9.08984375" style="2"/>
    <col min="1537" max="1537" width="45.90625" style="2" customWidth="1"/>
    <col min="1538" max="1549" width="14.90625" style="2" customWidth="1"/>
    <col min="1550" max="1792" width="9.08984375" style="2"/>
    <col min="1793" max="1793" width="45.90625" style="2" customWidth="1"/>
    <col min="1794" max="1805" width="14.90625" style="2" customWidth="1"/>
    <col min="1806" max="2048" width="9.08984375" style="2"/>
    <col min="2049" max="2049" width="45.90625" style="2" customWidth="1"/>
    <col min="2050" max="2061" width="14.90625" style="2" customWidth="1"/>
    <col min="2062" max="2304" width="9.08984375" style="2"/>
    <col min="2305" max="2305" width="45.90625" style="2" customWidth="1"/>
    <col min="2306" max="2317" width="14.90625" style="2" customWidth="1"/>
    <col min="2318" max="2560" width="9.08984375" style="2"/>
    <col min="2561" max="2561" width="45.90625" style="2" customWidth="1"/>
    <col min="2562" max="2573" width="14.90625" style="2" customWidth="1"/>
    <col min="2574" max="2816" width="9.08984375" style="2"/>
    <col min="2817" max="2817" width="45.90625" style="2" customWidth="1"/>
    <col min="2818" max="2829" width="14.90625" style="2" customWidth="1"/>
    <col min="2830" max="3072" width="9.08984375" style="2"/>
    <col min="3073" max="3073" width="45.90625" style="2" customWidth="1"/>
    <col min="3074" max="3085" width="14.90625" style="2" customWidth="1"/>
    <col min="3086" max="3328" width="9.08984375" style="2"/>
    <col min="3329" max="3329" width="45.90625" style="2" customWidth="1"/>
    <col min="3330" max="3341" width="14.90625" style="2" customWidth="1"/>
    <col min="3342" max="3584" width="9.08984375" style="2"/>
    <col min="3585" max="3585" width="45.90625" style="2" customWidth="1"/>
    <col min="3586" max="3597" width="14.90625" style="2" customWidth="1"/>
    <col min="3598" max="3840" width="9.08984375" style="2"/>
    <col min="3841" max="3841" width="45.90625" style="2" customWidth="1"/>
    <col min="3842" max="3853" width="14.90625" style="2" customWidth="1"/>
    <col min="3854" max="4096" width="9.08984375" style="2"/>
    <col min="4097" max="4097" width="45.90625" style="2" customWidth="1"/>
    <col min="4098" max="4109" width="14.90625" style="2" customWidth="1"/>
    <col min="4110" max="4352" width="9.08984375" style="2"/>
    <col min="4353" max="4353" width="45.90625" style="2" customWidth="1"/>
    <col min="4354" max="4365" width="14.90625" style="2" customWidth="1"/>
    <col min="4366" max="4608" width="9.08984375" style="2"/>
    <col min="4609" max="4609" width="45.90625" style="2" customWidth="1"/>
    <col min="4610" max="4621" width="14.90625" style="2" customWidth="1"/>
    <col min="4622" max="4864" width="9.08984375" style="2"/>
    <col min="4865" max="4865" width="45.90625" style="2" customWidth="1"/>
    <col min="4866" max="4877" width="14.90625" style="2" customWidth="1"/>
    <col min="4878" max="5120" width="9.08984375" style="2"/>
    <col min="5121" max="5121" width="45.90625" style="2" customWidth="1"/>
    <col min="5122" max="5133" width="14.90625" style="2" customWidth="1"/>
    <col min="5134" max="5376" width="9.08984375" style="2"/>
    <col min="5377" max="5377" width="45.90625" style="2" customWidth="1"/>
    <col min="5378" max="5389" width="14.90625" style="2" customWidth="1"/>
    <col min="5390" max="5632" width="9.08984375" style="2"/>
    <col min="5633" max="5633" width="45.90625" style="2" customWidth="1"/>
    <col min="5634" max="5645" width="14.90625" style="2" customWidth="1"/>
    <col min="5646" max="5888" width="9.08984375" style="2"/>
    <col min="5889" max="5889" width="45.90625" style="2" customWidth="1"/>
    <col min="5890" max="5901" width="14.90625" style="2" customWidth="1"/>
    <col min="5902" max="6144" width="9.08984375" style="2"/>
    <col min="6145" max="6145" width="45.90625" style="2" customWidth="1"/>
    <col min="6146" max="6157" width="14.90625" style="2" customWidth="1"/>
    <col min="6158" max="6400" width="9.08984375" style="2"/>
    <col min="6401" max="6401" width="45.90625" style="2" customWidth="1"/>
    <col min="6402" max="6413" width="14.90625" style="2" customWidth="1"/>
    <col min="6414" max="6656" width="9.08984375" style="2"/>
    <col min="6657" max="6657" width="45.90625" style="2" customWidth="1"/>
    <col min="6658" max="6669" width="14.90625" style="2" customWidth="1"/>
    <col min="6670" max="6912" width="9.08984375" style="2"/>
    <col min="6913" max="6913" width="45.90625" style="2" customWidth="1"/>
    <col min="6914" max="6925" width="14.90625" style="2" customWidth="1"/>
    <col min="6926" max="7168" width="9.08984375" style="2"/>
    <col min="7169" max="7169" width="45.90625" style="2" customWidth="1"/>
    <col min="7170" max="7181" width="14.90625" style="2" customWidth="1"/>
    <col min="7182" max="7424" width="9.08984375" style="2"/>
    <col min="7425" max="7425" width="45.90625" style="2" customWidth="1"/>
    <col min="7426" max="7437" width="14.90625" style="2" customWidth="1"/>
    <col min="7438" max="7680" width="9.08984375" style="2"/>
    <col min="7681" max="7681" width="45.90625" style="2" customWidth="1"/>
    <col min="7682" max="7693" width="14.90625" style="2" customWidth="1"/>
    <col min="7694" max="7936" width="9.08984375" style="2"/>
    <col min="7937" max="7937" width="45.90625" style="2" customWidth="1"/>
    <col min="7938" max="7949" width="14.90625" style="2" customWidth="1"/>
    <col min="7950" max="8192" width="9.08984375" style="2"/>
    <col min="8193" max="8193" width="45.90625" style="2" customWidth="1"/>
    <col min="8194" max="8205" width="14.90625" style="2" customWidth="1"/>
    <col min="8206" max="8448" width="9.08984375" style="2"/>
    <col min="8449" max="8449" width="45.90625" style="2" customWidth="1"/>
    <col min="8450" max="8461" width="14.90625" style="2" customWidth="1"/>
    <col min="8462" max="8704" width="9.08984375" style="2"/>
    <col min="8705" max="8705" width="45.90625" style="2" customWidth="1"/>
    <col min="8706" max="8717" width="14.90625" style="2" customWidth="1"/>
    <col min="8718" max="8960" width="9.08984375" style="2"/>
    <col min="8961" max="8961" width="45.90625" style="2" customWidth="1"/>
    <col min="8962" max="8973" width="14.90625" style="2" customWidth="1"/>
    <col min="8974" max="9216" width="9.08984375" style="2"/>
    <col min="9217" max="9217" width="45.90625" style="2" customWidth="1"/>
    <col min="9218" max="9229" width="14.90625" style="2" customWidth="1"/>
    <col min="9230" max="9472" width="9.08984375" style="2"/>
    <col min="9473" max="9473" width="45.90625" style="2" customWidth="1"/>
    <col min="9474" max="9485" width="14.90625" style="2" customWidth="1"/>
    <col min="9486" max="9728" width="9.08984375" style="2"/>
    <col min="9729" max="9729" width="45.90625" style="2" customWidth="1"/>
    <col min="9730" max="9741" width="14.90625" style="2" customWidth="1"/>
    <col min="9742" max="9984" width="9.08984375" style="2"/>
    <col min="9985" max="9985" width="45.90625" style="2" customWidth="1"/>
    <col min="9986" max="9997" width="14.90625" style="2" customWidth="1"/>
    <col min="9998" max="10240" width="9.08984375" style="2"/>
    <col min="10241" max="10241" width="45.90625" style="2" customWidth="1"/>
    <col min="10242" max="10253" width="14.90625" style="2" customWidth="1"/>
    <col min="10254" max="10496" width="9.08984375" style="2"/>
    <col min="10497" max="10497" width="45.90625" style="2" customWidth="1"/>
    <col min="10498" max="10509" width="14.90625" style="2" customWidth="1"/>
    <col min="10510" max="10752" width="9.08984375" style="2"/>
    <col min="10753" max="10753" width="45.90625" style="2" customWidth="1"/>
    <col min="10754" max="10765" width="14.90625" style="2" customWidth="1"/>
    <col min="10766" max="11008" width="9.08984375" style="2"/>
    <col min="11009" max="11009" width="45.90625" style="2" customWidth="1"/>
    <col min="11010" max="11021" width="14.90625" style="2" customWidth="1"/>
    <col min="11022" max="11264" width="9.08984375" style="2"/>
    <col min="11265" max="11265" width="45.90625" style="2" customWidth="1"/>
    <col min="11266" max="11277" width="14.90625" style="2" customWidth="1"/>
    <col min="11278" max="11520" width="9.08984375" style="2"/>
    <col min="11521" max="11521" width="45.90625" style="2" customWidth="1"/>
    <col min="11522" max="11533" width="14.90625" style="2" customWidth="1"/>
    <col min="11534" max="11776" width="9.08984375" style="2"/>
    <col min="11777" max="11777" width="45.90625" style="2" customWidth="1"/>
    <col min="11778" max="11789" width="14.90625" style="2" customWidth="1"/>
    <col min="11790" max="12032" width="9.08984375" style="2"/>
    <col min="12033" max="12033" width="45.90625" style="2" customWidth="1"/>
    <col min="12034" max="12045" width="14.90625" style="2" customWidth="1"/>
    <col min="12046" max="12288" width="9.08984375" style="2"/>
    <col min="12289" max="12289" width="45.90625" style="2" customWidth="1"/>
    <col min="12290" max="12301" width="14.90625" style="2" customWidth="1"/>
    <col min="12302" max="12544" width="9.08984375" style="2"/>
    <col min="12545" max="12545" width="45.90625" style="2" customWidth="1"/>
    <col min="12546" max="12557" width="14.90625" style="2" customWidth="1"/>
    <col min="12558" max="12800" width="9.08984375" style="2"/>
    <col min="12801" max="12801" width="45.90625" style="2" customWidth="1"/>
    <col min="12802" max="12813" width="14.90625" style="2" customWidth="1"/>
    <col min="12814" max="13056" width="9.08984375" style="2"/>
    <col min="13057" max="13057" width="45.90625" style="2" customWidth="1"/>
    <col min="13058" max="13069" width="14.90625" style="2" customWidth="1"/>
    <col min="13070" max="13312" width="9.08984375" style="2"/>
    <col min="13313" max="13313" width="45.90625" style="2" customWidth="1"/>
    <col min="13314" max="13325" width="14.90625" style="2" customWidth="1"/>
    <col min="13326" max="13568" width="9.08984375" style="2"/>
    <col min="13569" max="13569" width="45.90625" style="2" customWidth="1"/>
    <col min="13570" max="13581" width="14.90625" style="2" customWidth="1"/>
    <col min="13582" max="13824" width="9.08984375" style="2"/>
    <col min="13825" max="13825" width="45.90625" style="2" customWidth="1"/>
    <col min="13826" max="13837" width="14.90625" style="2" customWidth="1"/>
    <col min="13838" max="14080" width="9.08984375" style="2"/>
    <col min="14081" max="14081" width="45.90625" style="2" customWidth="1"/>
    <col min="14082" max="14093" width="14.90625" style="2" customWidth="1"/>
    <col min="14094" max="14336" width="9.08984375" style="2"/>
    <col min="14337" max="14337" width="45.90625" style="2" customWidth="1"/>
    <col min="14338" max="14349" width="14.90625" style="2" customWidth="1"/>
    <col min="14350" max="14592" width="9.08984375" style="2"/>
    <col min="14593" max="14593" width="45.90625" style="2" customWidth="1"/>
    <col min="14594" max="14605" width="14.90625" style="2" customWidth="1"/>
    <col min="14606" max="14848" width="9.08984375" style="2"/>
    <col min="14849" max="14849" width="45.90625" style="2" customWidth="1"/>
    <col min="14850" max="14861" width="14.90625" style="2" customWidth="1"/>
    <col min="14862" max="15104" width="9.08984375" style="2"/>
    <col min="15105" max="15105" width="45.90625" style="2" customWidth="1"/>
    <col min="15106" max="15117" width="14.90625" style="2" customWidth="1"/>
    <col min="15118" max="15360" width="9.08984375" style="2"/>
    <col min="15361" max="15361" width="45.90625" style="2" customWidth="1"/>
    <col min="15362" max="15373" width="14.90625" style="2" customWidth="1"/>
    <col min="15374" max="15616" width="9.08984375" style="2"/>
    <col min="15617" max="15617" width="45.90625" style="2" customWidth="1"/>
    <col min="15618" max="15629" width="14.90625" style="2" customWidth="1"/>
    <col min="15630" max="15872" width="9.08984375" style="2"/>
    <col min="15873" max="15873" width="45.90625" style="2" customWidth="1"/>
    <col min="15874" max="15885" width="14.90625" style="2" customWidth="1"/>
    <col min="15886" max="16128" width="9.08984375" style="2"/>
    <col min="16129" max="16129" width="45.90625" style="2" customWidth="1"/>
    <col min="16130" max="16141" width="14.90625" style="2" customWidth="1"/>
    <col min="16142" max="16384" width="9.08984375" style="2"/>
  </cols>
  <sheetData>
    <row r="5" spans="1:249" ht="17">
      <c r="A5" s="1" t="s">
        <v>257</v>
      </c>
    </row>
    <row r="7" spans="1:249" ht="10.5">
      <c r="A7" s="3" t="s">
        <v>258</v>
      </c>
      <c r="B7" s="4" t="s">
        <v>259</v>
      </c>
      <c r="C7" s="2" t="s">
        <v>260</v>
      </c>
      <c r="D7" s="5" t="s">
        <v>4</v>
      </c>
      <c r="E7" s="4" t="s">
        <v>5</v>
      </c>
      <c r="F7" s="2" t="s">
        <v>6</v>
      </c>
    </row>
    <row r="8" spans="1:249" ht="10.5">
      <c r="A8" s="5"/>
      <c r="B8" s="4" t="s">
        <v>7</v>
      </c>
      <c r="C8" s="2" t="s">
        <v>8</v>
      </c>
      <c r="D8" s="5" t="s">
        <v>4</v>
      </c>
      <c r="E8" s="4" t="s">
        <v>9</v>
      </c>
      <c r="F8" s="2" t="s">
        <v>10</v>
      </c>
    </row>
    <row r="9" spans="1:249" ht="10.5">
      <c r="A9" s="5"/>
      <c r="B9" s="4" t="s">
        <v>11</v>
      </c>
      <c r="C9" s="2" t="s">
        <v>12</v>
      </c>
      <c r="D9" s="5" t="s">
        <v>4</v>
      </c>
      <c r="E9" s="4" t="s">
        <v>13</v>
      </c>
      <c r="F9" s="2" t="s">
        <v>14</v>
      </c>
    </row>
    <row r="10" spans="1:249" ht="10.5">
      <c r="A10" s="5"/>
      <c r="B10" s="4" t="s">
        <v>15</v>
      </c>
      <c r="C10" s="2" t="s">
        <v>16</v>
      </c>
      <c r="D10" s="5" t="s">
        <v>4</v>
      </c>
      <c r="E10" s="4" t="s">
        <v>17</v>
      </c>
      <c r="F10" s="6" t="s">
        <v>18</v>
      </c>
    </row>
    <row r="13" spans="1:249">
      <c r="A13" s="7" t="s">
        <v>261</v>
      </c>
      <c r="B13" s="7"/>
      <c r="C13" s="7"/>
      <c r="D13" s="7"/>
      <c r="E13" s="7"/>
      <c r="F13" s="7"/>
      <c r="G13" s="7"/>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row>
    <row r="14" spans="1:249" ht="31.5">
      <c r="A14" s="9" t="s">
        <v>113</v>
      </c>
      <c r="B14" s="10" t="s">
        <v>114</v>
      </c>
      <c r="C14" s="10" t="s">
        <v>115</v>
      </c>
      <c r="D14" s="10" t="s">
        <v>116</v>
      </c>
      <c r="E14" s="10" t="s">
        <v>117</v>
      </c>
      <c r="F14" s="10" t="s">
        <v>118</v>
      </c>
      <c r="G14" s="10" t="s">
        <v>119</v>
      </c>
    </row>
    <row r="15" spans="1:249">
      <c r="A15" s="11" t="s">
        <v>24</v>
      </c>
      <c r="B15" s="12" t="s">
        <v>25</v>
      </c>
      <c r="C15" s="12" t="s">
        <v>25</v>
      </c>
      <c r="D15" s="12" t="s">
        <v>25</v>
      </c>
      <c r="E15" s="12" t="s">
        <v>25</v>
      </c>
      <c r="F15" s="12" t="s">
        <v>25</v>
      </c>
      <c r="G15" s="12" t="s">
        <v>25</v>
      </c>
    </row>
    <row r="16" spans="1:249" ht="10.5">
      <c r="A16" s="13" t="s">
        <v>262</v>
      </c>
      <c r="B16" s="5"/>
      <c r="C16" s="5"/>
      <c r="D16" s="5"/>
      <c r="E16" s="5"/>
      <c r="F16" s="5"/>
      <c r="G16" s="5"/>
    </row>
    <row r="17" spans="1:7">
      <c r="A17" s="5" t="s">
        <v>263</v>
      </c>
      <c r="B17" s="19">
        <v>2749.3220000000001</v>
      </c>
      <c r="C17" s="19">
        <v>2779.1239999999998</v>
      </c>
      <c r="D17" s="19">
        <v>3090.56</v>
      </c>
      <c r="E17" s="19">
        <v>3310.96</v>
      </c>
      <c r="F17" s="19">
        <v>4539.2129999999997</v>
      </c>
      <c r="G17" s="19">
        <v>5916.87</v>
      </c>
    </row>
    <row r="18" spans="1:7">
      <c r="A18" s="5" t="s">
        <v>264</v>
      </c>
      <c r="B18" s="19">
        <v>1474.4190000000001</v>
      </c>
      <c r="C18" s="19">
        <v>1468.979</v>
      </c>
      <c r="D18" s="19">
        <v>2392.36</v>
      </c>
      <c r="E18" s="19">
        <v>3650.17</v>
      </c>
      <c r="F18" s="19">
        <v>2938.4850000000001</v>
      </c>
      <c r="G18" s="19">
        <v>2811.05</v>
      </c>
    </row>
    <row r="19" spans="1:7">
      <c r="A19" s="5" t="s">
        <v>244</v>
      </c>
      <c r="B19" s="19">
        <v>6251.9589999999998</v>
      </c>
      <c r="C19" s="19">
        <v>6886.3860000000004</v>
      </c>
      <c r="D19" s="19">
        <v>7326.7240000000002</v>
      </c>
      <c r="E19" s="19">
        <v>7625.44</v>
      </c>
      <c r="F19" s="19">
        <v>11319.934999999999</v>
      </c>
      <c r="G19" s="19">
        <v>13903.64</v>
      </c>
    </row>
    <row r="20" spans="1:7">
      <c r="A20" s="5" t="s">
        <v>265</v>
      </c>
      <c r="B20" s="19">
        <v>26.178999999999998</v>
      </c>
      <c r="C20" s="19">
        <v>31.75</v>
      </c>
      <c r="D20" s="19">
        <v>43.91</v>
      </c>
      <c r="E20" s="19">
        <v>46.067</v>
      </c>
      <c r="F20" s="19">
        <v>58.777999999999999</v>
      </c>
      <c r="G20" s="19">
        <v>25.675999999999998</v>
      </c>
    </row>
    <row r="21" spans="1:7">
      <c r="A21" s="5" t="s">
        <v>266</v>
      </c>
      <c r="B21" s="19">
        <v>-804.2</v>
      </c>
      <c r="C21" s="19">
        <v>-722.7</v>
      </c>
      <c r="D21" s="19">
        <v>-906.3</v>
      </c>
      <c r="E21" s="19">
        <v>-915.9</v>
      </c>
      <c r="F21" s="19">
        <v>-1371.3</v>
      </c>
      <c r="G21" s="19">
        <v>-1947.1</v>
      </c>
    </row>
    <row r="22" spans="1:7">
      <c r="A22" s="5" t="s">
        <v>267</v>
      </c>
      <c r="B22" s="19" t="s">
        <v>29</v>
      </c>
      <c r="C22" s="19" t="s">
        <v>29</v>
      </c>
      <c r="D22" s="19" t="s">
        <v>29</v>
      </c>
      <c r="E22" s="19" t="s">
        <v>29</v>
      </c>
      <c r="F22" s="19" t="s">
        <v>29</v>
      </c>
      <c r="G22" s="19" t="s">
        <v>29</v>
      </c>
    </row>
    <row r="23" spans="1:7" ht="10.5">
      <c r="A23" s="13" t="s">
        <v>268</v>
      </c>
      <c r="B23" s="14">
        <v>9697.6859999999997</v>
      </c>
      <c r="C23" s="14">
        <v>10443.540999999999</v>
      </c>
      <c r="D23" s="14">
        <v>11947.263999999999</v>
      </c>
      <c r="E23" s="14">
        <v>13716.736999999999</v>
      </c>
      <c r="F23" s="14">
        <v>17485.080999999998</v>
      </c>
      <c r="G23" s="14">
        <v>20710.116000000002</v>
      </c>
    </row>
    <row r="24" spans="1:7">
      <c r="A24" s="5"/>
      <c r="B24" s="5"/>
      <c r="C24" s="5"/>
      <c r="D24" s="5"/>
      <c r="E24" s="5"/>
      <c r="F24" s="5"/>
      <c r="G24" s="5"/>
    </row>
    <row r="25" spans="1:7" ht="10.5">
      <c r="A25" s="13" t="s">
        <v>169</v>
      </c>
      <c r="B25" s="5"/>
      <c r="C25" s="5"/>
      <c r="D25" s="5"/>
      <c r="E25" s="5"/>
      <c r="F25" s="5"/>
      <c r="G25" s="5"/>
    </row>
    <row r="26" spans="1:7">
      <c r="A26" s="5" t="s">
        <v>263</v>
      </c>
      <c r="B26" s="19">
        <v>172.334</v>
      </c>
      <c r="C26" s="19">
        <v>203.42699999999999</v>
      </c>
      <c r="D26" s="19">
        <v>224.399</v>
      </c>
      <c r="E26" s="19">
        <v>237.245</v>
      </c>
      <c r="F26" s="19">
        <v>263.77600000000001</v>
      </c>
      <c r="G26" s="19">
        <v>234.184</v>
      </c>
    </row>
    <row r="27" spans="1:7">
      <c r="A27" s="5" t="s">
        <v>264</v>
      </c>
      <c r="B27" s="19">
        <v>112.57</v>
      </c>
      <c r="C27" s="19">
        <v>131.63200000000001</v>
      </c>
      <c r="D27" s="19">
        <v>197.74100000000001</v>
      </c>
      <c r="E27" s="19">
        <v>322.91000000000003</v>
      </c>
      <c r="F27" s="19">
        <v>270.846</v>
      </c>
      <c r="G27" s="19">
        <v>185.75200000000001</v>
      </c>
    </row>
    <row r="28" spans="1:7">
      <c r="A28" s="5" t="s">
        <v>244</v>
      </c>
      <c r="B28" s="19">
        <v>204.30500000000001</v>
      </c>
      <c r="C28" s="19">
        <v>187.24600000000001</v>
      </c>
      <c r="D28" s="19">
        <v>188.85499999999999</v>
      </c>
      <c r="E28" s="19">
        <v>194.68</v>
      </c>
      <c r="F28" s="19">
        <v>250.38200000000001</v>
      </c>
      <c r="G28" s="19">
        <v>424.76400000000001</v>
      </c>
    </row>
    <row r="29" spans="1:7">
      <c r="A29" s="5" t="s">
        <v>265</v>
      </c>
      <c r="B29" s="19">
        <v>-24.1</v>
      </c>
      <c r="C29" s="19">
        <v>-26.2</v>
      </c>
      <c r="D29" s="19">
        <v>-24.1</v>
      </c>
      <c r="E29" s="19">
        <v>-34.700000000000003</v>
      </c>
      <c r="F29" s="19">
        <v>-32</v>
      </c>
      <c r="G29" s="19">
        <v>-40.4</v>
      </c>
    </row>
    <row r="30" spans="1:7">
      <c r="A30" s="5" t="s">
        <v>267</v>
      </c>
      <c r="B30" s="19" t="s">
        <v>29</v>
      </c>
      <c r="C30" s="19" t="s">
        <v>29</v>
      </c>
      <c r="D30" s="19" t="s">
        <v>29</v>
      </c>
      <c r="E30" s="19" t="s">
        <v>29</v>
      </c>
      <c r="F30" s="19" t="s">
        <v>29</v>
      </c>
      <c r="G30" s="19" t="s">
        <v>29</v>
      </c>
    </row>
    <row r="31" spans="1:7" ht="10.5">
      <c r="A31" s="13" t="s">
        <v>269</v>
      </c>
      <c r="B31" s="14">
        <v>465.15899999999999</v>
      </c>
      <c r="C31" s="14">
        <v>496.084</v>
      </c>
      <c r="D31" s="14">
        <v>586.89700000000005</v>
      </c>
      <c r="E31" s="14">
        <v>720.14099999999996</v>
      </c>
      <c r="F31" s="14">
        <v>752.95899999999995</v>
      </c>
      <c r="G31" s="14">
        <v>804.303</v>
      </c>
    </row>
    <row r="32" spans="1:7">
      <c r="A32" s="5"/>
      <c r="B32" s="5"/>
      <c r="C32" s="5"/>
      <c r="D32" s="5"/>
      <c r="E32" s="5"/>
      <c r="F32" s="5"/>
      <c r="G32" s="5"/>
    </row>
    <row r="33" spans="1:7" ht="10.5">
      <c r="A33" s="13" t="s">
        <v>270</v>
      </c>
      <c r="B33" s="5"/>
      <c r="C33" s="5"/>
      <c r="D33" s="5"/>
      <c r="E33" s="5"/>
      <c r="F33" s="5"/>
      <c r="G33" s="5"/>
    </row>
    <row r="34" spans="1:7">
      <c r="A34" s="5" t="s">
        <v>263</v>
      </c>
      <c r="B34" s="19">
        <v>115.404</v>
      </c>
      <c r="C34" s="19">
        <v>143.321</v>
      </c>
      <c r="D34" s="19">
        <v>165.13200000000001</v>
      </c>
      <c r="E34" s="19">
        <v>168.15700000000001</v>
      </c>
      <c r="F34" s="19">
        <v>185.27</v>
      </c>
      <c r="G34" s="19">
        <v>153.68799999999999</v>
      </c>
    </row>
    <row r="35" spans="1:7">
      <c r="A35" s="5" t="s">
        <v>264</v>
      </c>
      <c r="B35" s="19">
        <v>73.725999999999999</v>
      </c>
      <c r="C35" s="19">
        <v>80.691999999999993</v>
      </c>
      <c r="D35" s="19">
        <v>130.21700000000001</v>
      </c>
      <c r="E35" s="19">
        <v>255.78100000000001</v>
      </c>
      <c r="F35" s="19">
        <v>177.16399999999999</v>
      </c>
      <c r="G35" s="19">
        <v>70.421999999999997</v>
      </c>
    </row>
    <row r="36" spans="1:7">
      <c r="A36" s="5" t="s">
        <v>244</v>
      </c>
      <c r="B36" s="19">
        <v>141.50299999999999</v>
      </c>
      <c r="C36" s="19">
        <v>124.88800000000001</v>
      </c>
      <c r="D36" s="19">
        <v>127.899</v>
      </c>
      <c r="E36" s="19">
        <v>134.80699999999999</v>
      </c>
      <c r="F36" s="19">
        <v>188.06899999999999</v>
      </c>
      <c r="G36" s="19">
        <v>361.815</v>
      </c>
    </row>
    <row r="37" spans="1:7">
      <c r="A37" s="5" t="s">
        <v>265</v>
      </c>
      <c r="B37" s="19">
        <v>-45</v>
      </c>
      <c r="C37" s="19">
        <v>-46.1</v>
      </c>
      <c r="D37" s="19">
        <v>-54.2</v>
      </c>
      <c r="E37" s="19">
        <v>-50.5</v>
      </c>
      <c r="F37" s="19">
        <v>-52.4</v>
      </c>
      <c r="G37" s="19">
        <v>-57.9</v>
      </c>
    </row>
    <row r="38" spans="1:7">
      <c r="A38" s="5" t="s">
        <v>267</v>
      </c>
      <c r="B38" s="19" t="s">
        <v>29</v>
      </c>
      <c r="C38" s="19" t="s">
        <v>29</v>
      </c>
      <c r="D38" s="19" t="s">
        <v>29</v>
      </c>
      <c r="E38" s="19" t="s">
        <v>29</v>
      </c>
      <c r="F38" s="19" t="s">
        <v>29</v>
      </c>
      <c r="G38" s="19" t="s">
        <v>29</v>
      </c>
    </row>
    <row r="39" spans="1:7" ht="10.5">
      <c r="A39" s="13" t="s">
        <v>271</v>
      </c>
      <c r="B39" s="14">
        <v>285.65100000000001</v>
      </c>
      <c r="C39" s="14">
        <v>302.75599999999997</v>
      </c>
      <c r="D39" s="14">
        <v>369.09699999999998</v>
      </c>
      <c r="E39" s="14">
        <v>508.20600000000002</v>
      </c>
      <c r="F39" s="14">
        <v>498.13200000000001</v>
      </c>
      <c r="G39" s="14">
        <v>528.03099999999995</v>
      </c>
    </row>
    <row r="40" spans="1:7">
      <c r="A40" s="5"/>
      <c r="B40" s="5"/>
      <c r="C40" s="5"/>
      <c r="D40" s="5"/>
      <c r="E40" s="5"/>
      <c r="F40" s="5"/>
      <c r="G40" s="5"/>
    </row>
    <row r="41" spans="1:7" ht="10.5">
      <c r="A41" s="13" t="s">
        <v>272</v>
      </c>
      <c r="B41" s="5"/>
      <c r="C41" s="5"/>
      <c r="D41" s="5"/>
      <c r="E41" s="5"/>
      <c r="F41" s="5"/>
      <c r="G41" s="5"/>
    </row>
    <row r="42" spans="1:7">
      <c r="A42" s="5" t="s">
        <v>263</v>
      </c>
      <c r="B42" s="19">
        <v>1490.4870000000001</v>
      </c>
      <c r="C42" s="19">
        <v>1479.625</v>
      </c>
      <c r="D42" s="19">
        <v>1878.9190000000001</v>
      </c>
      <c r="E42" s="19">
        <v>2031.404</v>
      </c>
      <c r="F42" s="19">
        <v>2747.7730000000001</v>
      </c>
      <c r="G42" s="19">
        <v>3447.098</v>
      </c>
    </row>
    <row r="43" spans="1:7">
      <c r="A43" s="5" t="s">
        <v>264</v>
      </c>
      <c r="B43" s="19">
        <v>1111.989</v>
      </c>
      <c r="C43" s="19">
        <v>1359.7850000000001</v>
      </c>
      <c r="D43" s="19">
        <v>2661.962</v>
      </c>
      <c r="E43" s="19">
        <v>3741.4180000000001</v>
      </c>
      <c r="F43" s="19">
        <v>3781.7860000000001</v>
      </c>
      <c r="G43" s="19">
        <v>3376.1909999999998</v>
      </c>
    </row>
    <row r="44" spans="1:7">
      <c r="A44" s="5" t="s">
        <v>244</v>
      </c>
      <c r="B44" s="19">
        <v>955.27099999999996</v>
      </c>
      <c r="C44" s="19">
        <v>1084.0139999999999</v>
      </c>
      <c r="D44" s="19">
        <v>1074.6210000000001</v>
      </c>
      <c r="E44" s="19">
        <v>1132.9690000000001</v>
      </c>
      <c r="F44" s="19">
        <v>1345.5170000000001</v>
      </c>
      <c r="G44" s="19">
        <v>1643.894</v>
      </c>
    </row>
    <row r="45" spans="1:7">
      <c r="A45" s="5" t="s">
        <v>265</v>
      </c>
      <c r="B45" s="19">
        <v>575.43299999999999</v>
      </c>
      <c r="C45" s="19">
        <v>536.48199999999997</v>
      </c>
      <c r="D45" s="19">
        <v>603.51900000000001</v>
      </c>
      <c r="E45" s="19">
        <v>478.01299999999998</v>
      </c>
      <c r="F45" s="19">
        <v>808.92600000000004</v>
      </c>
      <c r="G45" s="19">
        <v>1568.336</v>
      </c>
    </row>
    <row r="46" spans="1:7">
      <c r="A46" s="5" t="s">
        <v>266</v>
      </c>
      <c r="B46" s="19">
        <v>-522.70000000000005</v>
      </c>
      <c r="C46" s="19">
        <v>-567.6</v>
      </c>
      <c r="D46" s="19">
        <v>-1103.4000000000001</v>
      </c>
      <c r="E46" s="19">
        <v>-1330.5</v>
      </c>
      <c r="F46" s="19">
        <v>-1660.6</v>
      </c>
      <c r="G46" s="19">
        <v>-1694.6</v>
      </c>
    </row>
    <row r="47" spans="1:7">
      <c r="A47" s="5" t="s">
        <v>273</v>
      </c>
      <c r="B47" s="19">
        <v>419.59899999999999</v>
      </c>
      <c r="C47" s="19">
        <v>253.48400000000001</v>
      </c>
      <c r="D47" s="19">
        <v>0</v>
      </c>
      <c r="E47" s="19">
        <v>0</v>
      </c>
      <c r="F47" s="19">
        <v>0</v>
      </c>
      <c r="G47" s="19">
        <v>0</v>
      </c>
    </row>
    <row r="48" spans="1:7">
      <c r="A48" s="5" t="s">
        <v>267</v>
      </c>
      <c r="B48" s="19" t="s">
        <v>29</v>
      </c>
      <c r="C48" s="19" t="s">
        <v>29</v>
      </c>
      <c r="D48" s="19" t="s">
        <v>29</v>
      </c>
      <c r="E48" s="19" t="s">
        <v>29</v>
      </c>
      <c r="F48" s="19" t="s">
        <v>29</v>
      </c>
      <c r="G48" s="19" t="s">
        <v>29</v>
      </c>
    </row>
    <row r="49" spans="1:7" ht="10.5">
      <c r="A49" s="13" t="s">
        <v>274</v>
      </c>
      <c r="B49" s="14">
        <v>4030.076</v>
      </c>
      <c r="C49" s="14">
        <v>4145.75</v>
      </c>
      <c r="D49" s="14">
        <v>5115.6610000000001</v>
      </c>
      <c r="E49" s="14">
        <v>6053.3090000000002</v>
      </c>
      <c r="F49" s="14">
        <v>7023.39</v>
      </c>
      <c r="G49" s="14">
        <v>8340.8919999999998</v>
      </c>
    </row>
    <row r="50" spans="1:7">
      <c r="A50" s="5"/>
      <c r="B50" s="5"/>
      <c r="C50" s="5"/>
      <c r="D50" s="5"/>
      <c r="E50" s="5"/>
      <c r="F50" s="5"/>
      <c r="G50" s="5"/>
    </row>
    <row r="51" spans="1:7" ht="10.5">
      <c r="A51" s="13" t="s">
        <v>275</v>
      </c>
      <c r="B51" s="5"/>
      <c r="C51" s="5"/>
      <c r="D51" s="5"/>
      <c r="E51" s="5"/>
      <c r="F51" s="5"/>
      <c r="G51" s="5"/>
    </row>
    <row r="52" spans="1:7">
      <c r="A52" s="5" t="s">
        <v>263</v>
      </c>
      <c r="B52" s="19">
        <v>48.173999999999999</v>
      </c>
      <c r="C52" s="19">
        <v>50.953000000000003</v>
      </c>
      <c r="D52" s="19">
        <v>58.884</v>
      </c>
      <c r="E52" s="19">
        <v>69.087999999999994</v>
      </c>
      <c r="F52" s="19">
        <v>78.507000000000005</v>
      </c>
      <c r="G52" s="19">
        <v>80.495999999999995</v>
      </c>
    </row>
    <row r="53" spans="1:7">
      <c r="A53" s="5" t="s">
        <v>264</v>
      </c>
      <c r="B53" s="19">
        <v>42.326999999999998</v>
      </c>
      <c r="C53" s="19">
        <v>49.936999999999998</v>
      </c>
      <c r="D53" s="19">
        <v>57.616999999999997</v>
      </c>
      <c r="E53" s="19">
        <v>66.274000000000001</v>
      </c>
      <c r="F53" s="19">
        <v>88.3</v>
      </c>
      <c r="G53" s="19">
        <v>110.45699999999999</v>
      </c>
    </row>
    <row r="54" spans="1:7">
      <c r="A54" s="5" t="s">
        <v>244</v>
      </c>
      <c r="B54" s="19">
        <v>62.802</v>
      </c>
      <c r="C54" s="19">
        <v>62.357999999999997</v>
      </c>
      <c r="D54" s="19">
        <v>61.835000000000001</v>
      </c>
      <c r="E54" s="19">
        <v>59.872999999999998</v>
      </c>
      <c r="F54" s="19">
        <v>62.313000000000002</v>
      </c>
      <c r="G54" s="19">
        <v>62.948999999999998</v>
      </c>
    </row>
    <row r="55" spans="1:7">
      <c r="A55" s="5" t="s">
        <v>265</v>
      </c>
      <c r="B55" s="19">
        <v>12.56</v>
      </c>
      <c r="C55" s="19">
        <v>12.693</v>
      </c>
      <c r="D55" s="19">
        <v>12.157</v>
      </c>
      <c r="E55" s="19">
        <v>11.343</v>
      </c>
      <c r="F55" s="19">
        <v>14.917999999999999</v>
      </c>
      <c r="G55" s="19">
        <v>14.04</v>
      </c>
    </row>
    <row r="56" spans="1:7">
      <c r="A56" s="5" t="s">
        <v>267</v>
      </c>
      <c r="B56" s="19" t="s">
        <v>29</v>
      </c>
      <c r="C56" s="19" t="s">
        <v>29</v>
      </c>
      <c r="D56" s="19" t="s">
        <v>29</v>
      </c>
      <c r="E56" s="19" t="s">
        <v>29</v>
      </c>
      <c r="F56" s="19" t="s">
        <v>29</v>
      </c>
      <c r="G56" s="19" t="s">
        <v>29</v>
      </c>
    </row>
    <row r="57" spans="1:7" ht="10.5">
      <c r="A57" s="13" t="s">
        <v>276</v>
      </c>
      <c r="B57" s="14">
        <v>165.863</v>
      </c>
      <c r="C57" s="14">
        <v>175.941</v>
      </c>
      <c r="D57" s="14">
        <v>190.49299999999999</v>
      </c>
      <c r="E57" s="14">
        <v>206.578</v>
      </c>
      <c r="F57" s="14">
        <v>244.03800000000001</v>
      </c>
      <c r="G57" s="14">
        <v>267.94200000000001</v>
      </c>
    </row>
    <row r="58" spans="1:7">
      <c r="A58" s="5"/>
      <c r="B58" s="5"/>
      <c r="C58" s="5"/>
      <c r="D58" s="5"/>
      <c r="E58" s="5"/>
      <c r="F58" s="5"/>
      <c r="G58" s="5"/>
    </row>
    <row r="59" spans="1:7" ht="10.5">
      <c r="A59" s="13" t="s">
        <v>277</v>
      </c>
      <c r="B59" s="5"/>
      <c r="C59" s="5"/>
      <c r="D59" s="5"/>
      <c r="E59" s="5"/>
      <c r="F59" s="5"/>
      <c r="G59" s="5"/>
    </row>
    <row r="60" spans="1:7">
      <c r="A60" s="5" t="s">
        <v>263</v>
      </c>
      <c r="B60" s="19">
        <v>-78.8</v>
      </c>
      <c r="C60" s="19">
        <v>-59.9</v>
      </c>
      <c r="D60" s="19">
        <v>-57.1</v>
      </c>
      <c r="E60" s="19">
        <v>-93.8</v>
      </c>
      <c r="F60" s="19">
        <v>-104</v>
      </c>
      <c r="G60" s="19">
        <v>-63.8</v>
      </c>
    </row>
    <row r="61" spans="1:7">
      <c r="A61" s="5" t="s">
        <v>264</v>
      </c>
      <c r="B61" s="19">
        <v>-42.5</v>
      </c>
      <c r="C61" s="19">
        <v>-146.19999999999999</v>
      </c>
      <c r="D61" s="19">
        <v>-228.4</v>
      </c>
      <c r="E61" s="19">
        <v>-321.3</v>
      </c>
      <c r="F61" s="19">
        <v>-348.2</v>
      </c>
      <c r="G61" s="19">
        <v>-251.7</v>
      </c>
    </row>
    <row r="62" spans="1:7">
      <c r="A62" s="5" t="s">
        <v>244</v>
      </c>
      <c r="B62" s="19">
        <v>-83</v>
      </c>
      <c r="C62" s="19">
        <v>-72.3</v>
      </c>
      <c r="D62" s="19">
        <v>-79.5</v>
      </c>
      <c r="E62" s="19">
        <v>-68.400000000000006</v>
      </c>
      <c r="F62" s="19">
        <v>-82</v>
      </c>
      <c r="G62" s="19">
        <v>-71.599999999999994</v>
      </c>
    </row>
    <row r="63" spans="1:7">
      <c r="A63" s="5" t="s">
        <v>265</v>
      </c>
      <c r="B63" s="19">
        <v>-8.5</v>
      </c>
      <c r="C63" s="19">
        <v>-9.6999999999999993</v>
      </c>
      <c r="D63" s="19">
        <v>-11.9</v>
      </c>
      <c r="E63" s="19">
        <v>-14.3</v>
      </c>
      <c r="F63" s="19">
        <v>-19</v>
      </c>
      <c r="G63" s="19">
        <v>-16.100000000000001</v>
      </c>
    </row>
    <row r="64" spans="1:7">
      <c r="A64" s="5" t="s">
        <v>267</v>
      </c>
      <c r="B64" s="19" t="s">
        <v>29</v>
      </c>
      <c r="C64" s="19" t="s">
        <v>29</v>
      </c>
      <c r="D64" s="19" t="s">
        <v>29</v>
      </c>
      <c r="E64" s="19" t="s">
        <v>29</v>
      </c>
      <c r="F64" s="19" t="s">
        <v>29</v>
      </c>
      <c r="G64" s="19" t="s">
        <v>29</v>
      </c>
    </row>
    <row r="65" spans="1:249" ht="10.5">
      <c r="A65" s="13" t="s">
        <v>278</v>
      </c>
      <c r="B65" s="14">
        <v>-212.7</v>
      </c>
      <c r="C65" s="14">
        <v>-288.10000000000002</v>
      </c>
      <c r="D65" s="14">
        <v>-376.9</v>
      </c>
      <c r="E65" s="14">
        <v>-497.8</v>
      </c>
      <c r="F65" s="14">
        <v>-553.20000000000005</v>
      </c>
      <c r="G65" s="14">
        <v>-403.2</v>
      </c>
    </row>
    <row r="66" spans="1:249">
      <c r="A66" s="5"/>
      <c r="B66" s="5"/>
      <c r="C66" s="5"/>
      <c r="D66" s="5"/>
      <c r="E66" s="5"/>
      <c r="F66" s="5"/>
      <c r="G66" s="5"/>
    </row>
    <row r="67" spans="1:249">
      <c r="A67" s="5"/>
      <c r="B67" s="5" t="s">
        <v>105</v>
      </c>
      <c r="C67" s="5" t="s">
        <v>105</v>
      </c>
      <c r="D67" s="5" t="s">
        <v>105</v>
      </c>
      <c r="E67" s="5" t="s">
        <v>105</v>
      </c>
      <c r="F67" s="5" t="s">
        <v>105</v>
      </c>
      <c r="G67" s="5" t="s">
        <v>105</v>
      </c>
    </row>
    <row r="68" spans="1:249">
      <c r="A68" s="5" t="s">
        <v>98</v>
      </c>
      <c r="B68" s="31">
        <v>42818</v>
      </c>
      <c r="C68" s="31">
        <v>43182</v>
      </c>
      <c r="D68" s="31">
        <v>43544</v>
      </c>
      <c r="E68" s="31">
        <v>43921</v>
      </c>
      <c r="F68" s="31">
        <v>44281</v>
      </c>
      <c r="G68" s="31">
        <v>44281</v>
      </c>
    </row>
    <row r="69" spans="1:249">
      <c r="A69" s="5"/>
      <c r="B69" s="5" t="s">
        <v>105</v>
      </c>
      <c r="C69" s="5" t="s">
        <v>105</v>
      </c>
      <c r="D69" s="5" t="s">
        <v>105</v>
      </c>
      <c r="E69" s="5" t="s">
        <v>105</v>
      </c>
      <c r="F69" s="5" t="s">
        <v>105</v>
      </c>
      <c r="G69" s="5" t="s">
        <v>105</v>
      </c>
    </row>
    <row r="70" spans="1:249">
      <c r="A70" s="5" t="s">
        <v>24</v>
      </c>
      <c r="B70" s="18" t="s">
        <v>25</v>
      </c>
      <c r="C70" s="18" t="s">
        <v>25</v>
      </c>
      <c r="D70" s="18" t="s">
        <v>25</v>
      </c>
      <c r="E70" s="18" t="s">
        <v>25</v>
      </c>
      <c r="F70" s="18" t="s">
        <v>25</v>
      </c>
      <c r="G70" s="18" t="s">
        <v>25</v>
      </c>
    </row>
    <row r="71" spans="1:249">
      <c r="A71" s="5" t="s">
        <v>106</v>
      </c>
      <c r="B71" s="19">
        <v>1</v>
      </c>
      <c r="C71" s="19">
        <v>1</v>
      </c>
      <c r="D71" s="19">
        <v>1</v>
      </c>
      <c r="E71" s="19">
        <v>1</v>
      </c>
      <c r="F71" s="19">
        <v>1</v>
      </c>
      <c r="G71" s="19">
        <v>1</v>
      </c>
    </row>
    <row r="72" spans="1:249">
      <c r="A72" s="5" t="s">
        <v>107</v>
      </c>
      <c r="B72" s="18" t="s">
        <v>108</v>
      </c>
      <c r="C72" s="18" t="s">
        <v>108</v>
      </c>
      <c r="D72" s="18" t="s">
        <v>108</v>
      </c>
      <c r="E72" s="18" t="s">
        <v>108</v>
      </c>
      <c r="F72" s="18" t="s">
        <v>108</v>
      </c>
      <c r="G72" s="18" t="s">
        <v>108</v>
      </c>
    </row>
    <row r="73" spans="1:249">
      <c r="A73" s="20"/>
      <c r="B73" s="20"/>
      <c r="C73" s="20"/>
      <c r="D73" s="20"/>
      <c r="E73" s="20"/>
      <c r="F73" s="20"/>
      <c r="G73" s="20"/>
    </row>
    <row r="75" spans="1:249">
      <c r="A75" s="7" t="s">
        <v>279</v>
      </c>
      <c r="B75" s="7"/>
      <c r="C75" s="7"/>
      <c r="D75" s="7"/>
      <c r="E75" s="7"/>
      <c r="F75" s="7"/>
      <c r="G75" s="7"/>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row>
    <row r="76" spans="1:249" ht="31.5">
      <c r="A76" s="9" t="s">
        <v>113</v>
      </c>
      <c r="B76" s="10" t="s">
        <v>114</v>
      </c>
      <c r="C76" s="10" t="s">
        <v>115</v>
      </c>
      <c r="D76" s="10" t="s">
        <v>116</v>
      </c>
      <c r="E76" s="10" t="s">
        <v>117</v>
      </c>
      <c r="F76" s="10" t="s">
        <v>118</v>
      </c>
      <c r="G76" s="10" t="s">
        <v>119</v>
      </c>
    </row>
    <row r="77" spans="1:249">
      <c r="A77" s="11" t="s">
        <v>24</v>
      </c>
      <c r="B77" s="12" t="s">
        <v>25</v>
      </c>
      <c r="C77" s="12" t="s">
        <v>25</v>
      </c>
      <c r="D77" s="12" t="s">
        <v>25</v>
      </c>
      <c r="E77" s="12" t="s">
        <v>25</v>
      </c>
      <c r="F77" s="12" t="s">
        <v>25</v>
      </c>
      <c r="G77" s="12" t="s">
        <v>25</v>
      </c>
    </row>
    <row r="78" spans="1:249" ht="10.5">
      <c r="A78" s="13" t="s">
        <v>262</v>
      </c>
      <c r="B78" s="5"/>
      <c r="C78" s="5"/>
      <c r="D78" s="5"/>
      <c r="E78" s="5"/>
      <c r="F78" s="5"/>
      <c r="G78" s="5"/>
    </row>
    <row r="79" spans="1:249">
      <c r="A79" s="5" t="s">
        <v>280</v>
      </c>
      <c r="B79" s="19">
        <v>6146.61</v>
      </c>
      <c r="C79" s="19">
        <v>6636.759</v>
      </c>
      <c r="D79" s="19">
        <v>6795.1419999999998</v>
      </c>
      <c r="E79" s="19">
        <v>6326.076</v>
      </c>
      <c r="F79" s="19">
        <v>7912.1120000000001</v>
      </c>
      <c r="G79" s="19">
        <v>10959.115</v>
      </c>
    </row>
    <row r="80" spans="1:249">
      <c r="A80" s="5" t="s">
        <v>281</v>
      </c>
      <c r="B80" s="19">
        <v>152.92500000000001</v>
      </c>
      <c r="C80" s="19">
        <v>121.96299999999999</v>
      </c>
      <c r="D80" s="19">
        <v>130.93700000000001</v>
      </c>
      <c r="E80" s="19">
        <v>117.143</v>
      </c>
      <c r="F80" s="19">
        <v>149.18299999999999</v>
      </c>
      <c r="G80" s="19">
        <v>156.18100000000001</v>
      </c>
    </row>
    <row r="81" spans="1:7">
      <c r="A81" s="5" t="s">
        <v>282</v>
      </c>
      <c r="B81" s="19">
        <v>1660.8489999999999</v>
      </c>
      <c r="C81" s="19">
        <v>1898.223</v>
      </c>
      <c r="D81" s="19">
        <v>3093.2269999999999</v>
      </c>
      <c r="E81" s="19">
        <v>4140.0940000000001</v>
      </c>
      <c r="F81" s="19">
        <v>4850.973</v>
      </c>
      <c r="G81" s="19">
        <v>5016.4650000000001</v>
      </c>
    </row>
    <row r="82" spans="1:7">
      <c r="A82" s="5" t="s">
        <v>283</v>
      </c>
      <c r="B82" s="19">
        <v>1294.596</v>
      </c>
      <c r="C82" s="19">
        <v>1326.192</v>
      </c>
      <c r="D82" s="19">
        <v>1437.3030000000001</v>
      </c>
      <c r="E82" s="19">
        <v>2528.8580000000002</v>
      </c>
      <c r="F82" s="19">
        <v>3862.5</v>
      </c>
      <c r="G82" s="19">
        <v>3881.2779999999998</v>
      </c>
    </row>
    <row r="83" spans="1:7">
      <c r="A83" s="5" t="s">
        <v>284</v>
      </c>
      <c r="B83" s="19">
        <v>273.20800000000003</v>
      </c>
      <c r="C83" s="19">
        <v>289.14400000000001</v>
      </c>
      <c r="D83" s="19">
        <v>346.07299999999998</v>
      </c>
      <c r="E83" s="19">
        <v>441.024</v>
      </c>
      <c r="F83" s="19">
        <v>528.75099999999998</v>
      </c>
      <c r="G83" s="19">
        <v>561.41099999999994</v>
      </c>
    </row>
    <row r="84" spans="1:7">
      <c r="A84" s="5" t="s">
        <v>285</v>
      </c>
      <c r="B84" s="19">
        <v>169.49700000000001</v>
      </c>
      <c r="C84" s="19">
        <v>171.25899999999999</v>
      </c>
      <c r="D84" s="19">
        <v>144.58099999999999</v>
      </c>
      <c r="E84" s="19">
        <v>163.541</v>
      </c>
      <c r="F84" s="19">
        <v>181.56299999999999</v>
      </c>
      <c r="G84" s="19">
        <v>135.667</v>
      </c>
    </row>
    <row r="85" spans="1:7" ht="10.5">
      <c r="A85" s="13" t="s">
        <v>268</v>
      </c>
      <c r="B85" s="14">
        <v>9697.6849999999995</v>
      </c>
      <c r="C85" s="14">
        <v>10443.540000000001</v>
      </c>
      <c r="D85" s="14">
        <v>11947.263000000001</v>
      </c>
      <c r="E85" s="14">
        <v>13716.736000000001</v>
      </c>
      <c r="F85" s="14">
        <v>17485.081999999999</v>
      </c>
      <c r="G85" s="14">
        <v>20710.116999999998</v>
      </c>
    </row>
    <row r="86" spans="1:7">
      <c r="A86" s="5"/>
      <c r="B86" s="5"/>
      <c r="C86" s="5"/>
      <c r="D86" s="5"/>
      <c r="E86" s="5"/>
      <c r="F86" s="5"/>
      <c r="G86" s="5"/>
    </row>
    <row r="87" spans="1:7" ht="10.5">
      <c r="A87" s="13" t="s">
        <v>286</v>
      </c>
      <c r="B87" s="5"/>
      <c r="C87" s="5"/>
      <c r="D87" s="5"/>
      <c r="E87" s="5"/>
      <c r="F87" s="5"/>
      <c r="G87" s="5"/>
    </row>
    <row r="88" spans="1:7">
      <c r="A88" s="5" t="s">
        <v>282</v>
      </c>
      <c r="B88" s="19" t="s">
        <v>29</v>
      </c>
      <c r="C88" s="19" t="s">
        <v>29</v>
      </c>
      <c r="D88" s="19">
        <v>35.333660000000002</v>
      </c>
      <c r="E88" s="19">
        <v>27.8748</v>
      </c>
      <c r="F88" s="19" t="s">
        <v>29</v>
      </c>
      <c r="G88" s="19">
        <v>1.478275</v>
      </c>
    </row>
    <row r="89" spans="1:7">
      <c r="A89" s="5" t="s">
        <v>283</v>
      </c>
      <c r="B89" s="19" t="s">
        <v>29</v>
      </c>
      <c r="C89" s="19" t="s">
        <v>29</v>
      </c>
      <c r="D89" s="19">
        <v>8.2695799999999995</v>
      </c>
      <c r="E89" s="19">
        <v>4.1295999999999999</v>
      </c>
      <c r="F89" s="19" t="s">
        <v>29</v>
      </c>
      <c r="G89" s="19">
        <v>5.3809209999999998</v>
      </c>
    </row>
    <row r="90" spans="1:7">
      <c r="A90" s="5" t="s">
        <v>284</v>
      </c>
      <c r="B90" s="19" t="s">
        <v>29</v>
      </c>
      <c r="C90" s="19" t="s">
        <v>29</v>
      </c>
      <c r="D90" s="19">
        <v>1.50356</v>
      </c>
      <c r="E90" s="19">
        <v>15.486000000000001</v>
      </c>
      <c r="F90" s="19" t="s">
        <v>29</v>
      </c>
      <c r="G90" s="19">
        <v>13.422737</v>
      </c>
    </row>
    <row r="91" spans="1:7">
      <c r="A91" s="5" t="s">
        <v>285</v>
      </c>
      <c r="B91" s="19" t="s">
        <v>29</v>
      </c>
      <c r="C91" s="19" t="s">
        <v>29</v>
      </c>
      <c r="D91" s="19">
        <v>3.7589000000000001</v>
      </c>
      <c r="E91" s="19">
        <v>6.1943999999999999</v>
      </c>
      <c r="F91" s="19" t="s">
        <v>29</v>
      </c>
      <c r="G91" s="19">
        <v>2.5426329999999999</v>
      </c>
    </row>
    <row r="92" spans="1:7">
      <c r="A92" s="5" t="s">
        <v>287</v>
      </c>
      <c r="B92" s="19" t="s">
        <v>29</v>
      </c>
      <c r="C92" s="19" t="s">
        <v>29</v>
      </c>
      <c r="D92" s="19">
        <v>26.3123</v>
      </c>
      <c r="E92" s="19">
        <v>49.555199999999999</v>
      </c>
      <c r="F92" s="19" t="s">
        <v>29</v>
      </c>
      <c r="G92" s="19">
        <v>36.306434000000003</v>
      </c>
    </row>
    <row r="93" spans="1:7" ht="10.5">
      <c r="A93" s="13" t="s">
        <v>288</v>
      </c>
      <c r="B93" s="14" t="s">
        <v>29</v>
      </c>
      <c r="C93" s="14" t="s">
        <v>29</v>
      </c>
      <c r="D93" s="14">
        <v>75.177999999999997</v>
      </c>
      <c r="E93" s="14">
        <v>103.24</v>
      </c>
      <c r="F93" s="14" t="s">
        <v>29</v>
      </c>
      <c r="G93" s="14">
        <v>59.131</v>
      </c>
    </row>
    <row r="94" spans="1:7">
      <c r="A94" s="5"/>
      <c r="B94" s="5"/>
      <c r="C94" s="5"/>
      <c r="D94" s="5"/>
      <c r="E94" s="5"/>
      <c r="F94" s="5"/>
      <c r="G94" s="5"/>
    </row>
    <row r="95" spans="1:7" ht="10.5">
      <c r="A95" s="13" t="s">
        <v>272</v>
      </c>
      <c r="B95" s="5"/>
      <c r="C95" s="5"/>
      <c r="D95" s="5"/>
      <c r="E95" s="5"/>
      <c r="F95" s="5"/>
      <c r="G95" s="5"/>
    </row>
    <row r="96" spans="1:7">
      <c r="A96" s="5" t="s">
        <v>280</v>
      </c>
      <c r="B96" s="19">
        <v>480.44</v>
      </c>
      <c r="C96" s="19">
        <v>450.52300000000002</v>
      </c>
      <c r="D96" s="19">
        <v>514.774</v>
      </c>
      <c r="E96" s="19">
        <v>529.68600000000004</v>
      </c>
      <c r="F96" s="19">
        <v>734.822</v>
      </c>
      <c r="G96" s="19">
        <v>825.68600000000004</v>
      </c>
    </row>
    <row r="97" spans="1:7">
      <c r="A97" s="5" t="s">
        <v>281</v>
      </c>
      <c r="B97" s="19">
        <v>407.24299999999999</v>
      </c>
      <c r="C97" s="19">
        <v>473.54</v>
      </c>
      <c r="D97" s="19">
        <v>499.56099999999998</v>
      </c>
      <c r="E97" s="19">
        <v>506.34699999999998</v>
      </c>
      <c r="F97" s="19">
        <v>576.77800000000002</v>
      </c>
      <c r="G97" s="19">
        <v>564.20899999999995</v>
      </c>
    </row>
    <row r="98" spans="1:7">
      <c r="A98" s="5" t="s">
        <v>282</v>
      </c>
      <c r="B98" s="19">
        <v>395.88099999999997</v>
      </c>
      <c r="C98" s="19">
        <v>439.23599999999999</v>
      </c>
      <c r="D98" s="19">
        <v>591.072</v>
      </c>
      <c r="E98" s="19">
        <v>863.947</v>
      </c>
      <c r="F98" s="19">
        <v>1115.2729999999999</v>
      </c>
      <c r="G98" s="19">
        <v>1109.0450000000001</v>
      </c>
    </row>
    <row r="99" spans="1:7">
      <c r="A99" s="5" t="s">
        <v>283</v>
      </c>
      <c r="B99" s="19">
        <v>154.941</v>
      </c>
      <c r="C99" s="19">
        <v>152.32300000000001</v>
      </c>
      <c r="D99" s="19">
        <v>133.49700000000001</v>
      </c>
      <c r="E99" s="19">
        <v>151.709</v>
      </c>
      <c r="F99" s="19">
        <v>144.541</v>
      </c>
      <c r="G99" s="19">
        <v>112.075</v>
      </c>
    </row>
    <row r="100" spans="1:7">
      <c r="A100" s="5" t="s">
        <v>284</v>
      </c>
      <c r="B100" s="19">
        <v>33.713000000000001</v>
      </c>
      <c r="C100" s="19">
        <v>41.360999999999997</v>
      </c>
      <c r="D100" s="19">
        <v>49.113999999999997</v>
      </c>
      <c r="E100" s="19">
        <v>42.893999999999998</v>
      </c>
      <c r="F100" s="19">
        <v>48.186</v>
      </c>
      <c r="G100" s="19">
        <v>45.59</v>
      </c>
    </row>
    <row r="101" spans="1:7">
      <c r="A101" s="5" t="s">
        <v>285</v>
      </c>
      <c r="B101" s="19">
        <v>6.7359999999999998</v>
      </c>
      <c r="C101" s="19">
        <v>8.8010000000000002</v>
      </c>
      <c r="D101" s="19">
        <v>8.3249999999999993</v>
      </c>
      <c r="E101" s="19">
        <v>6.9489999999999998</v>
      </c>
      <c r="F101" s="19">
        <v>7.4379999999999997</v>
      </c>
      <c r="G101" s="19">
        <v>4.726</v>
      </c>
    </row>
    <row r="102" spans="1:7" ht="10.5">
      <c r="A102" s="13" t="s">
        <v>274</v>
      </c>
      <c r="B102" s="14">
        <v>1478.954</v>
      </c>
      <c r="C102" s="14">
        <v>1565.7840000000001</v>
      </c>
      <c r="D102" s="14">
        <v>1796.3430000000001</v>
      </c>
      <c r="E102" s="14">
        <v>2101.5320000000002</v>
      </c>
      <c r="F102" s="14">
        <v>2627.038</v>
      </c>
      <c r="G102" s="14">
        <v>2661.3310000000001</v>
      </c>
    </row>
    <row r="103" spans="1:7">
      <c r="A103" s="5"/>
      <c r="B103" s="5"/>
      <c r="C103" s="5"/>
      <c r="D103" s="5"/>
      <c r="E103" s="5"/>
      <c r="F103" s="5"/>
      <c r="G103" s="5"/>
    </row>
    <row r="104" spans="1:7" ht="10.5">
      <c r="A104" s="13" t="s">
        <v>277</v>
      </c>
      <c r="B104" s="5"/>
      <c r="C104" s="5"/>
      <c r="D104" s="5"/>
      <c r="E104" s="5"/>
      <c r="F104" s="5"/>
      <c r="G104" s="5"/>
    </row>
    <row r="105" spans="1:7">
      <c r="A105" s="5" t="s">
        <v>280</v>
      </c>
      <c r="B105" s="19">
        <v>-55</v>
      </c>
      <c r="C105" s="19">
        <v>-32.5</v>
      </c>
      <c r="D105" s="19">
        <v>-30.9</v>
      </c>
      <c r="E105" s="19">
        <v>-27.8</v>
      </c>
      <c r="F105" s="19">
        <v>-50</v>
      </c>
      <c r="G105" s="19">
        <v>-173.5</v>
      </c>
    </row>
    <row r="106" spans="1:7">
      <c r="A106" s="5" t="s">
        <v>281</v>
      </c>
      <c r="B106" s="19">
        <v>-87.6</v>
      </c>
      <c r="C106" s="19">
        <v>-147</v>
      </c>
      <c r="D106" s="19">
        <v>-111.8</v>
      </c>
      <c r="E106" s="19">
        <v>-103.7</v>
      </c>
      <c r="F106" s="19">
        <v>-156</v>
      </c>
      <c r="G106" s="19">
        <v>-100.9</v>
      </c>
    </row>
    <row r="107" spans="1:7">
      <c r="A107" s="5" t="s">
        <v>282</v>
      </c>
      <c r="B107" s="19">
        <v>-40.799999999999997</v>
      </c>
      <c r="C107" s="19">
        <v>-65.099999999999994</v>
      </c>
      <c r="D107" s="19">
        <v>-199</v>
      </c>
      <c r="E107" s="19">
        <v>-319.39999999999998</v>
      </c>
      <c r="F107" s="19">
        <v>-316.7</v>
      </c>
      <c r="G107" s="19">
        <v>-104.9</v>
      </c>
    </row>
    <row r="108" spans="1:7">
      <c r="A108" s="5" t="s">
        <v>283</v>
      </c>
      <c r="B108" s="19">
        <v>-21.2</v>
      </c>
      <c r="C108" s="19">
        <v>-18.399999999999999</v>
      </c>
      <c r="D108" s="19">
        <v>-13.7</v>
      </c>
      <c r="E108" s="19">
        <v>-21.3</v>
      </c>
      <c r="F108" s="19">
        <v>-18</v>
      </c>
      <c r="G108" s="19">
        <v>-8.8000000000000007</v>
      </c>
    </row>
    <row r="109" spans="1:7">
      <c r="A109" s="5" t="s">
        <v>284</v>
      </c>
      <c r="B109" s="19">
        <v>-6.8</v>
      </c>
      <c r="C109" s="19">
        <v>-7.5</v>
      </c>
      <c r="D109" s="19">
        <v>-4.5999999999999996</v>
      </c>
      <c r="E109" s="19">
        <v>-3.9</v>
      </c>
      <c r="F109" s="19">
        <v>-12.4</v>
      </c>
      <c r="G109" s="19">
        <v>-14.8</v>
      </c>
    </row>
    <row r="110" spans="1:7">
      <c r="A110" s="5" t="s">
        <v>285</v>
      </c>
      <c r="B110" s="19">
        <v>-1.4</v>
      </c>
      <c r="C110" s="19">
        <v>-2.2999999999999998</v>
      </c>
      <c r="D110" s="19">
        <v>-2</v>
      </c>
      <c r="E110" s="19">
        <v>-1.5</v>
      </c>
      <c r="F110" s="19">
        <v>0</v>
      </c>
      <c r="G110" s="19">
        <v>-0.3</v>
      </c>
    </row>
    <row r="111" spans="1:7" ht="10.5">
      <c r="A111" s="13" t="s">
        <v>278</v>
      </c>
      <c r="B111" s="14">
        <v>-212.7</v>
      </c>
      <c r="C111" s="14">
        <v>-272.8</v>
      </c>
      <c r="D111" s="14">
        <v>-361.9</v>
      </c>
      <c r="E111" s="14">
        <v>-477.6</v>
      </c>
      <c r="F111" s="14">
        <v>-553.20000000000005</v>
      </c>
      <c r="G111" s="14">
        <v>-403.2</v>
      </c>
    </row>
    <row r="112" spans="1:7">
      <c r="A112" s="5"/>
      <c r="B112" s="5"/>
      <c r="C112" s="5"/>
      <c r="D112" s="5"/>
      <c r="E112" s="5"/>
      <c r="F112" s="5"/>
      <c r="G112" s="5"/>
    </row>
    <row r="113" spans="1:13">
      <c r="A113" s="5"/>
      <c r="B113" s="5" t="s">
        <v>105</v>
      </c>
      <c r="C113" s="5" t="s">
        <v>105</v>
      </c>
      <c r="D113" s="5" t="s">
        <v>105</v>
      </c>
      <c r="E113" s="5" t="s">
        <v>105</v>
      </c>
      <c r="F113" s="5" t="s">
        <v>105</v>
      </c>
      <c r="G113" s="5" t="s">
        <v>105</v>
      </c>
    </row>
    <row r="114" spans="1:13">
      <c r="A114" s="5" t="s">
        <v>98</v>
      </c>
      <c r="B114" s="31">
        <v>42818</v>
      </c>
      <c r="C114" s="31">
        <v>43182</v>
      </c>
      <c r="D114" s="31">
        <v>43544</v>
      </c>
      <c r="E114" s="31">
        <v>43921</v>
      </c>
      <c r="F114" s="31">
        <v>44281</v>
      </c>
      <c r="G114" s="31">
        <v>44281</v>
      </c>
    </row>
    <row r="115" spans="1:13">
      <c r="A115" s="5"/>
      <c r="B115" s="5" t="s">
        <v>105</v>
      </c>
      <c r="C115" s="5" t="s">
        <v>105</v>
      </c>
      <c r="D115" s="5" t="s">
        <v>105</v>
      </c>
      <c r="E115" s="5" t="s">
        <v>105</v>
      </c>
      <c r="F115" s="5" t="s">
        <v>105</v>
      </c>
      <c r="G115" s="5" t="s">
        <v>105</v>
      </c>
    </row>
    <row r="116" spans="1:13">
      <c r="A116" s="5" t="s">
        <v>24</v>
      </c>
      <c r="B116" s="18" t="s">
        <v>25</v>
      </c>
      <c r="C116" s="18" t="s">
        <v>25</v>
      </c>
      <c r="D116" s="18" t="s">
        <v>25</v>
      </c>
      <c r="E116" s="18" t="s">
        <v>25</v>
      </c>
      <c r="F116" s="18" t="s">
        <v>25</v>
      </c>
      <c r="G116" s="18" t="s">
        <v>25</v>
      </c>
    </row>
    <row r="117" spans="1:13">
      <c r="A117" s="5" t="s">
        <v>106</v>
      </c>
      <c r="B117" s="19">
        <v>1</v>
      </c>
      <c r="C117" s="19">
        <v>1</v>
      </c>
      <c r="D117" s="19">
        <v>1</v>
      </c>
      <c r="E117" s="19">
        <v>1</v>
      </c>
      <c r="F117" s="19">
        <v>1</v>
      </c>
      <c r="G117" s="19">
        <v>1</v>
      </c>
    </row>
    <row r="118" spans="1:13">
      <c r="A118" s="5" t="s">
        <v>107</v>
      </c>
      <c r="B118" s="18" t="s">
        <v>108</v>
      </c>
      <c r="C118" s="18" t="s">
        <v>108</v>
      </c>
      <c r="D118" s="18" t="s">
        <v>108</v>
      </c>
      <c r="E118" s="18" t="s">
        <v>108</v>
      </c>
      <c r="F118" s="18" t="s">
        <v>108</v>
      </c>
      <c r="G118" s="18" t="s">
        <v>108</v>
      </c>
    </row>
    <row r="119" spans="1:13">
      <c r="A119" s="20"/>
      <c r="B119" s="20"/>
      <c r="C119" s="20"/>
      <c r="D119" s="20"/>
      <c r="E119" s="20"/>
      <c r="F119" s="20"/>
      <c r="G119" s="20"/>
      <c r="H119" s="20"/>
      <c r="I119" s="20"/>
      <c r="J119" s="20"/>
      <c r="K119" s="20"/>
      <c r="L119" s="20"/>
      <c r="M119" s="20"/>
    </row>
    <row r="120" spans="1:13">
      <c r="A120" s="25" t="s">
        <v>110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6B92-C7EA-4D23-98E2-57811691580C}">
  <sheetPr>
    <tabColor theme="0" tint="-0.249977111117893"/>
  </sheetPr>
  <dimension ref="A5:IO83"/>
  <sheetViews>
    <sheetView topLeftCell="A16" zoomScale="90" zoomScaleNormal="90" workbookViewId="0">
      <selection activeCell="A60" sqref="A60"/>
    </sheetView>
  </sheetViews>
  <sheetFormatPr baseColWidth="10" defaultColWidth="8.54296875" defaultRowHeight="10"/>
  <cols>
    <col min="1" max="1" width="45.90625" style="2" customWidth="1"/>
    <col min="2" max="13" width="14.90625" style="2" customWidth="1"/>
    <col min="14" max="256" width="9.08984375" style="2"/>
    <col min="257" max="257" width="45.90625" style="2" customWidth="1"/>
    <col min="258" max="269" width="14.90625" style="2" customWidth="1"/>
    <col min="270" max="512" width="9.08984375" style="2"/>
    <col min="513" max="513" width="45.90625" style="2" customWidth="1"/>
    <col min="514" max="525" width="14.90625" style="2" customWidth="1"/>
    <col min="526" max="768" width="9.08984375" style="2"/>
    <col min="769" max="769" width="45.90625" style="2" customWidth="1"/>
    <col min="770" max="781" width="14.90625" style="2" customWidth="1"/>
    <col min="782" max="1024" width="9.08984375" style="2"/>
    <col min="1025" max="1025" width="45.90625" style="2" customWidth="1"/>
    <col min="1026" max="1037" width="14.90625" style="2" customWidth="1"/>
    <col min="1038" max="1280" width="9.08984375" style="2"/>
    <col min="1281" max="1281" width="45.90625" style="2" customWidth="1"/>
    <col min="1282" max="1293" width="14.90625" style="2" customWidth="1"/>
    <col min="1294" max="1536" width="9.08984375" style="2"/>
    <col min="1537" max="1537" width="45.90625" style="2" customWidth="1"/>
    <col min="1538" max="1549" width="14.90625" style="2" customWidth="1"/>
    <col min="1550" max="1792" width="9.08984375" style="2"/>
    <col min="1793" max="1793" width="45.90625" style="2" customWidth="1"/>
    <col min="1794" max="1805" width="14.90625" style="2" customWidth="1"/>
    <col min="1806" max="2048" width="9.08984375" style="2"/>
    <col min="2049" max="2049" width="45.90625" style="2" customWidth="1"/>
    <col min="2050" max="2061" width="14.90625" style="2" customWidth="1"/>
    <col min="2062" max="2304" width="9.08984375" style="2"/>
    <col min="2305" max="2305" width="45.90625" style="2" customWidth="1"/>
    <col min="2306" max="2317" width="14.90625" style="2" customWidth="1"/>
    <col min="2318" max="2560" width="9.08984375" style="2"/>
    <col min="2561" max="2561" width="45.90625" style="2" customWidth="1"/>
    <col min="2562" max="2573" width="14.90625" style="2" customWidth="1"/>
    <col min="2574" max="2816" width="9.08984375" style="2"/>
    <col min="2817" max="2817" width="45.90625" style="2" customWidth="1"/>
    <col min="2818" max="2829" width="14.90625" style="2" customWidth="1"/>
    <col min="2830" max="3072" width="9.08984375" style="2"/>
    <col min="3073" max="3073" width="45.90625" style="2" customWidth="1"/>
    <col min="3074" max="3085" width="14.90625" style="2" customWidth="1"/>
    <col min="3086" max="3328" width="9.08984375" style="2"/>
    <col min="3329" max="3329" width="45.90625" style="2" customWidth="1"/>
    <col min="3330" max="3341" width="14.90625" style="2" customWidth="1"/>
    <col min="3342" max="3584" width="9.08984375" style="2"/>
    <col min="3585" max="3585" width="45.90625" style="2" customWidth="1"/>
    <col min="3586" max="3597" width="14.90625" style="2" customWidth="1"/>
    <col min="3598" max="3840" width="9.08984375" style="2"/>
    <col min="3841" max="3841" width="45.90625" style="2" customWidth="1"/>
    <col min="3842" max="3853" width="14.90625" style="2" customWidth="1"/>
    <col min="3854" max="4096" width="9.08984375" style="2"/>
    <col min="4097" max="4097" width="45.90625" style="2" customWidth="1"/>
    <col min="4098" max="4109" width="14.90625" style="2" customWidth="1"/>
    <col min="4110" max="4352" width="9.08984375" style="2"/>
    <col min="4353" max="4353" width="45.90625" style="2" customWidth="1"/>
    <col min="4354" max="4365" width="14.90625" style="2" customWidth="1"/>
    <col min="4366" max="4608" width="9.08984375" style="2"/>
    <col min="4609" max="4609" width="45.90625" style="2" customWidth="1"/>
    <col min="4610" max="4621" width="14.90625" style="2" customWidth="1"/>
    <col min="4622" max="4864" width="9.08984375" style="2"/>
    <col min="4865" max="4865" width="45.90625" style="2" customWidth="1"/>
    <col min="4866" max="4877" width="14.90625" style="2" customWidth="1"/>
    <col min="4878" max="5120" width="9.08984375" style="2"/>
    <col min="5121" max="5121" width="45.90625" style="2" customWidth="1"/>
    <col min="5122" max="5133" width="14.90625" style="2" customWidth="1"/>
    <col min="5134" max="5376" width="9.08984375" style="2"/>
    <col min="5377" max="5377" width="45.90625" style="2" customWidth="1"/>
    <col min="5378" max="5389" width="14.90625" style="2" customWidth="1"/>
    <col min="5390" max="5632" width="9.08984375" style="2"/>
    <col min="5633" max="5633" width="45.90625" style="2" customWidth="1"/>
    <col min="5634" max="5645" width="14.90625" style="2" customWidth="1"/>
    <col min="5646" max="5888" width="9.08984375" style="2"/>
    <col min="5889" max="5889" width="45.90625" style="2" customWidth="1"/>
    <col min="5890" max="5901" width="14.90625" style="2" customWidth="1"/>
    <col min="5902" max="6144" width="9.08984375" style="2"/>
    <col min="6145" max="6145" width="45.90625" style="2" customWidth="1"/>
    <col min="6146" max="6157" width="14.90625" style="2" customWidth="1"/>
    <col min="6158" max="6400" width="9.08984375" style="2"/>
    <col min="6401" max="6401" width="45.90625" style="2" customWidth="1"/>
    <col min="6402" max="6413" width="14.90625" style="2" customWidth="1"/>
    <col min="6414" max="6656" width="9.08984375" style="2"/>
    <col min="6657" max="6657" width="45.90625" style="2" customWidth="1"/>
    <col min="6658" max="6669" width="14.90625" style="2" customWidth="1"/>
    <col min="6670" max="6912" width="9.08984375" style="2"/>
    <col min="6913" max="6913" width="45.90625" style="2" customWidth="1"/>
    <col min="6914" max="6925" width="14.90625" style="2" customWidth="1"/>
    <col min="6926" max="7168" width="9.08984375" style="2"/>
    <col min="7169" max="7169" width="45.90625" style="2" customWidth="1"/>
    <col min="7170" max="7181" width="14.90625" style="2" customWidth="1"/>
    <col min="7182" max="7424" width="9.08984375" style="2"/>
    <col min="7425" max="7425" width="45.90625" style="2" customWidth="1"/>
    <col min="7426" max="7437" width="14.90625" style="2" customWidth="1"/>
    <col min="7438" max="7680" width="9.08984375" style="2"/>
    <col min="7681" max="7681" width="45.90625" style="2" customWidth="1"/>
    <col min="7682" max="7693" width="14.90625" style="2" customWidth="1"/>
    <col min="7694" max="7936" width="9.08984375" style="2"/>
    <col min="7937" max="7937" width="45.90625" style="2" customWidth="1"/>
    <col min="7938" max="7949" width="14.90625" style="2" customWidth="1"/>
    <col min="7950" max="8192" width="9.08984375" style="2"/>
    <col min="8193" max="8193" width="45.90625" style="2" customWidth="1"/>
    <col min="8194" max="8205" width="14.90625" style="2" customWidth="1"/>
    <col min="8206" max="8448" width="9.08984375" style="2"/>
    <col min="8449" max="8449" width="45.90625" style="2" customWidth="1"/>
    <col min="8450" max="8461" width="14.90625" style="2" customWidth="1"/>
    <col min="8462" max="8704" width="9.08984375" style="2"/>
    <col min="8705" max="8705" width="45.90625" style="2" customWidth="1"/>
    <col min="8706" max="8717" width="14.90625" style="2" customWidth="1"/>
    <col min="8718" max="8960" width="9.08984375" style="2"/>
    <col min="8961" max="8961" width="45.90625" style="2" customWidth="1"/>
    <col min="8962" max="8973" width="14.90625" style="2" customWidth="1"/>
    <col min="8974" max="9216" width="9.08984375" style="2"/>
    <col min="9217" max="9217" width="45.90625" style="2" customWidth="1"/>
    <col min="9218" max="9229" width="14.90625" style="2" customWidth="1"/>
    <col min="9230" max="9472" width="9.08984375" style="2"/>
    <col min="9473" max="9473" width="45.90625" style="2" customWidth="1"/>
    <col min="9474" max="9485" width="14.90625" style="2" customWidth="1"/>
    <col min="9486" max="9728" width="9.08984375" style="2"/>
    <col min="9729" max="9729" width="45.90625" style="2" customWidth="1"/>
    <col min="9730" max="9741" width="14.90625" style="2" customWidth="1"/>
    <col min="9742" max="9984" width="9.08984375" style="2"/>
    <col min="9985" max="9985" width="45.90625" style="2" customWidth="1"/>
    <col min="9986" max="9997" width="14.90625" style="2" customWidth="1"/>
    <col min="9998" max="10240" width="9.08984375" style="2"/>
    <col min="10241" max="10241" width="45.90625" style="2" customWidth="1"/>
    <col min="10242" max="10253" width="14.90625" style="2" customWidth="1"/>
    <col min="10254" max="10496" width="9.08984375" style="2"/>
    <col min="10497" max="10497" width="45.90625" style="2" customWidth="1"/>
    <col min="10498" max="10509" width="14.90625" style="2" customWidth="1"/>
    <col min="10510" max="10752" width="9.08984375" style="2"/>
    <col min="10753" max="10753" width="45.90625" style="2" customWidth="1"/>
    <col min="10754" max="10765" width="14.90625" style="2" customWidth="1"/>
    <col min="10766" max="11008" width="9.08984375" style="2"/>
    <col min="11009" max="11009" width="45.90625" style="2" customWidth="1"/>
    <col min="11010" max="11021" width="14.90625" style="2" customWidth="1"/>
    <col min="11022" max="11264" width="9.08984375" style="2"/>
    <col min="11265" max="11265" width="45.90625" style="2" customWidth="1"/>
    <col min="11266" max="11277" width="14.90625" style="2" customWidth="1"/>
    <col min="11278" max="11520" width="9.08984375" style="2"/>
    <col min="11521" max="11521" width="45.90625" style="2" customWidth="1"/>
    <col min="11522" max="11533" width="14.90625" style="2" customWidth="1"/>
    <col min="11534" max="11776" width="9.08984375" style="2"/>
    <col min="11777" max="11777" width="45.90625" style="2" customWidth="1"/>
    <col min="11778" max="11789" width="14.90625" style="2" customWidth="1"/>
    <col min="11790" max="12032" width="9.08984375" style="2"/>
    <col min="12033" max="12033" width="45.90625" style="2" customWidth="1"/>
    <col min="12034" max="12045" width="14.90625" style="2" customWidth="1"/>
    <col min="12046" max="12288" width="9.08984375" style="2"/>
    <col min="12289" max="12289" width="45.90625" style="2" customWidth="1"/>
    <col min="12290" max="12301" width="14.90625" style="2" customWidth="1"/>
    <col min="12302" max="12544" width="9.08984375" style="2"/>
    <col min="12545" max="12545" width="45.90625" style="2" customWidth="1"/>
    <col min="12546" max="12557" width="14.90625" style="2" customWidth="1"/>
    <col min="12558" max="12800" width="9.08984375" style="2"/>
    <col min="12801" max="12801" width="45.90625" style="2" customWidth="1"/>
    <col min="12802" max="12813" width="14.90625" style="2" customWidth="1"/>
    <col min="12814" max="13056" width="9.08984375" style="2"/>
    <col min="13057" max="13057" width="45.90625" style="2" customWidth="1"/>
    <col min="13058" max="13069" width="14.90625" style="2" customWidth="1"/>
    <col min="13070" max="13312" width="9.08984375" style="2"/>
    <col min="13313" max="13313" width="45.90625" style="2" customWidth="1"/>
    <col min="13314" max="13325" width="14.90625" style="2" customWidth="1"/>
    <col min="13326" max="13568" width="9.08984375" style="2"/>
    <col min="13569" max="13569" width="45.90625" style="2" customWidth="1"/>
    <col min="13570" max="13581" width="14.90625" style="2" customWidth="1"/>
    <col min="13582" max="13824" width="9.08984375" style="2"/>
    <col min="13825" max="13825" width="45.90625" style="2" customWidth="1"/>
    <col min="13826" max="13837" width="14.90625" style="2" customWidth="1"/>
    <col min="13838" max="14080" width="9.08984375" style="2"/>
    <col min="14081" max="14081" width="45.90625" style="2" customWidth="1"/>
    <col min="14082" max="14093" width="14.90625" style="2" customWidth="1"/>
    <col min="14094" max="14336" width="9.08984375" style="2"/>
    <col min="14337" max="14337" width="45.90625" style="2" customWidth="1"/>
    <col min="14338" max="14349" width="14.90625" style="2" customWidth="1"/>
    <col min="14350" max="14592" width="9.08984375" style="2"/>
    <col min="14593" max="14593" width="45.90625" style="2" customWidth="1"/>
    <col min="14594" max="14605" width="14.90625" style="2" customWidth="1"/>
    <col min="14606" max="14848" width="9.08984375" style="2"/>
    <col min="14849" max="14849" width="45.90625" style="2" customWidth="1"/>
    <col min="14850" max="14861" width="14.90625" style="2" customWidth="1"/>
    <col min="14862" max="15104" width="9.08984375" style="2"/>
    <col min="15105" max="15105" width="45.90625" style="2" customWidth="1"/>
    <col min="15106" max="15117" width="14.90625" style="2" customWidth="1"/>
    <col min="15118" max="15360" width="9.08984375" style="2"/>
    <col min="15361" max="15361" width="45.90625" style="2" customWidth="1"/>
    <col min="15362" max="15373" width="14.90625" style="2" customWidth="1"/>
    <col min="15374" max="15616" width="9.08984375" style="2"/>
    <col min="15617" max="15617" width="45.90625" style="2" customWidth="1"/>
    <col min="15618" max="15629" width="14.90625" style="2" customWidth="1"/>
    <col min="15630" max="15872" width="9.08984375" style="2"/>
    <col min="15873" max="15873" width="45.90625" style="2" customWidth="1"/>
    <col min="15874" max="15885" width="14.90625" style="2" customWidth="1"/>
    <col min="15886" max="16128" width="9.08984375" style="2"/>
    <col min="16129" max="16129" width="45.90625" style="2" customWidth="1"/>
    <col min="16130" max="16141" width="14.90625" style="2" customWidth="1"/>
    <col min="16142" max="16384" width="9.08984375" style="2"/>
  </cols>
  <sheetData>
    <row r="5" spans="1:249" ht="17">
      <c r="A5" s="1" t="s">
        <v>289</v>
      </c>
    </row>
    <row r="7" spans="1:249" ht="10.5">
      <c r="A7" s="3" t="s">
        <v>1</v>
      </c>
      <c r="B7" s="4" t="s">
        <v>2</v>
      </c>
      <c r="C7" s="2" t="s">
        <v>3</v>
      </c>
      <c r="D7" s="5" t="s">
        <v>4</v>
      </c>
      <c r="E7" s="4" t="s">
        <v>5</v>
      </c>
      <c r="F7" s="2" t="s">
        <v>6</v>
      </c>
    </row>
    <row r="8" spans="1:249" ht="10.5">
      <c r="A8" s="5"/>
      <c r="B8" s="4" t="s">
        <v>7</v>
      </c>
      <c r="C8" s="2" t="s">
        <v>8</v>
      </c>
      <c r="D8" s="5" t="s">
        <v>4</v>
      </c>
      <c r="E8" s="4" t="s">
        <v>9</v>
      </c>
      <c r="F8" s="2" t="s">
        <v>10</v>
      </c>
    </row>
    <row r="9" spans="1:249" ht="10.5">
      <c r="A9" s="5"/>
      <c r="B9" s="4" t="s">
        <v>11</v>
      </c>
      <c r="C9" s="2" t="s">
        <v>12</v>
      </c>
      <c r="D9" s="5" t="s">
        <v>4</v>
      </c>
      <c r="E9" s="4" t="s">
        <v>13</v>
      </c>
      <c r="F9" s="2" t="s">
        <v>14</v>
      </c>
    </row>
    <row r="10" spans="1:249" ht="10.5">
      <c r="A10" s="5"/>
      <c r="B10" s="4" t="s">
        <v>15</v>
      </c>
      <c r="C10" s="2" t="s">
        <v>16</v>
      </c>
      <c r="D10" s="5" t="s">
        <v>4</v>
      </c>
      <c r="E10" s="4" t="s">
        <v>17</v>
      </c>
      <c r="F10" s="6" t="s">
        <v>18</v>
      </c>
    </row>
    <row r="11" spans="1:249" ht="10.5">
      <c r="A11" s="5"/>
      <c r="B11" s="4" t="s">
        <v>19</v>
      </c>
      <c r="C11" s="2" t="s">
        <v>20</v>
      </c>
      <c r="D11" s="5" t="s">
        <v>4</v>
      </c>
      <c r="E11" s="26"/>
      <c r="F11" s="26"/>
    </row>
    <row r="14" spans="1:249">
      <c r="A14" s="7" t="s">
        <v>249</v>
      </c>
      <c r="B14" s="7"/>
      <c r="C14" s="7"/>
      <c r="D14" s="7"/>
      <c r="E14" s="7"/>
      <c r="F14" s="7"/>
      <c r="G14" s="7"/>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row>
    <row r="15" spans="1:249" ht="31.5">
      <c r="A15" s="9" t="s">
        <v>113</v>
      </c>
      <c r="B15" s="10" t="s">
        <v>290</v>
      </c>
      <c r="C15" s="10" t="s">
        <v>291</v>
      </c>
      <c r="D15" s="10" t="s">
        <v>292</v>
      </c>
      <c r="E15" s="10" t="s">
        <v>293</v>
      </c>
      <c r="F15" s="10" t="s">
        <v>294</v>
      </c>
      <c r="G15" s="10" t="s">
        <v>119</v>
      </c>
    </row>
    <row r="16" spans="1:249">
      <c r="A16" s="11" t="s">
        <v>24</v>
      </c>
      <c r="B16" s="12" t="s">
        <v>25</v>
      </c>
      <c r="C16" s="12" t="s">
        <v>25</v>
      </c>
      <c r="D16" s="12" t="s">
        <v>25</v>
      </c>
      <c r="E16" s="12" t="s">
        <v>25</v>
      </c>
      <c r="F16" s="12" t="s">
        <v>25</v>
      </c>
      <c r="G16" s="12" t="s">
        <v>25</v>
      </c>
    </row>
    <row r="17" spans="1:7" ht="10.5">
      <c r="A17" s="13" t="s">
        <v>105</v>
      </c>
      <c r="B17" s="5"/>
      <c r="C17" s="5"/>
      <c r="D17" s="5"/>
      <c r="E17" s="5"/>
      <c r="F17" s="5"/>
      <c r="G17" s="5"/>
    </row>
    <row r="18" spans="1:7" ht="10.5">
      <c r="A18" s="13" t="s">
        <v>202</v>
      </c>
      <c r="B18" s="14">
        <v>169.22499999999999</v>
      </c>
      <c r="C18" s="14">
        <v>130.72399999999999</v>
      </c>
      <c r="D18" s="14">
        <v>211.94300000000001</v>
      </c>
      <c r="E18" s="14">
        <v>316.98399999999998</v>
      </c>
      <c r="F18" s="14">
        <v>287.791</v>
      </c>
      <c r="G18" s="14">
        <v>130.53</v>
      </c>
    </row>
    <row r="19" spans="1:7">
      <c r="A19" s="5" t="s">
        <v>127</v>
      </c>
      <c r="B19" s="19">
        <v>141.09200000000001</v>
      </c>
      <c r="C19" s="19">
        <v>145.364</v>
      </c>
      <c r="D19" s="19">
        <v>154.51400000000001</v>
      </c>
      <c r="E19" s="19">
        <v>169.69900000000001</v>
      </c>
      <c r="F19" s="19">
        <v>207.82499999999999</v>
      </c>
      <c r="G19" s="19">
        <v>232.73099999999999</v>
      </c>
    </row>
    <row r="20" spans="1:7">
      <c r="A20" s="5" t="s">
        <v>295</v>
      </c>
      <c r="B20" s="19">
        <v>4.4189999999999996</v>
      </c>
      <c r="C20" s="19">
        <v>8.9390000000000001</v>
      </c>
      <c r="D20" s="19">
        <v>14.656000000000001</v>
      </c>
      <c r="E20" s="19">
        <v>17.05</v>
      </c>
      <c r="F20" s="19">
        <v>15.62</v>
      </c>
      <c r="G20" s="19">
        <v>14.234999999999999</v>
      </c>
    </row>
    <row r="21" spans="1:7" ht="10.5">
      <c r="A21" s="13" t="s">
        <v>296</v>
      </c>
      <c r="B21" s="27">
        <v>145.511</v>
      </c>
      <c r="C21" s="27">
        <v>154.303</v>
      </c>
      <c r="D21" s="27">
        <v>169.17</v>
      </c>
      <c r="E21" s="27">
        <v>186.749</v>
      </c>
      <c r="F21" s="27">
        <v>223.44499999999999</v>
      </c>
      <c r="G21" s="27">
        <v>246.96600000000001</v>
      </c>
    </row>
    <row r="22" spans="1:7">
      <c r="A22" s="5"/>
      <c r="B22" s="5"/>
      <c r="C22" s="5"/>
      <c r="D22" s="5"/>
      <c r="E22" s="5"/>
      <c r="F22" s="5"/>
      <c r="G22" s="5"/>
    </row>
    <row r="23" spans="1:7">
      <c r="A23" s="5" t="s">
        <v>297</v>
      </c>
      <c r="B23" s="19">
        <v>20.352</v>
      </c>
      <c r="C23" s="19">
        <v>21.640999999999998</v>
      </c>
      <c r="D23" s="19">
        <v>21.324000000000002</v>
      </c>
      <c r="E23" s="19">
        <v>19.827999999999999</v>
      </c>
      <c r="F23" s="19">
        <v>20.593</v>
      </c>
      <c r="G23" s="19">
        <v>20.975000000000001</v>
      </c>
    </row>
    <row r="24" spans="1:7">
      <c r="A24" s="5" t="s">
        <v>298</v>
      </c>
      <c r="B24" s="19">
        <v>-1.8</v>
      </c>
      <c r="C24" s="19">
        <v>3.9990000000000001</v>
      </c>
      <c r="D24" s="19">
        <v>5.5039999999999996</v>
      </c>
      <c r="E24" s="19">
        <v>-6</v>
      </c>
      <c r="F24" s="19">
        <v>-8</v>
      </c>
      <c r="G24" s="19">
        <v>-0.8</v>
      </c>
    </row>
    <row r="25" spans="1:7">
      <c r="A25" s="5" t="s">
        <v>299</v>
      </c>
      <c r="B25" s="19">
        <v>5.5880000000000001</v>
      </c>
      <c r="C25" s="19">
        <v>1.788</v>
      </c>
      <c r="D25" s="19">
        <v>8.3610000000000007</v>
      </c>
      <c r="E25" s="19" t="s">
        <v>29</v>
      </c>
      <c r="F25" s="19" t="s">
        <v>29</v>
      </c>
      <c r="G25" s="19" t="s">
        <v>29</v>
      </c>
    </row>
    <row r="26" spans="1:7">
      <c r="A26" s="5" t="s">
        <v>300</v>
      </c>
      <c r="B26" s="19">
        <v>15.285</v>
      </c>
      <c r="C26" s="19">
        <v>21.111000000000001</v>
      </c>
      <c r="D26" s="19">
        <v>-7.5</v>
      </c>
      <c r="E26" s="19">
        <v>6.78</v>
      </c>
      <c r="F26" s="19">
        <v>23.602</v>
      </c>
      <c r="G26" s="19">
        <v>87.543000000000006</v>
      </c>
    </row>
    <row r="27" spans="1:7">
      <c r="A27" s="5" t="s">
        <v>301</v>
      </c>
      <c r="B27" s="19">
        <v>-9.8000000000000007</v>
      </c>
      <c r="C27" s="19">
        <v>-16.8</v>
      </c>
      <c r="D27" s="19">
        <v>-29.6</v>
      </c>
      <c r="E27" s="19">
        <v>-6.7</v>
      </c>
      <c r="F27" s="19">
        <v>-8.6999999999999993</v>
      </c>
      <c r="G27" s="19">
        <v>5.3319999999999999</v>
      </c>
    </row>
    <row r="28" spans="1:7">
      <c r="A28" s="5" t="s">
        <v>302</v>
      </c>
      <c r="B28" s="19">
        <v>5.4</v>
      </c>
      <c r="C28" s="19">
        <v>3.548</v>
      </c>
      <c r="D28" s="19">
        <v>6.1289999999999996</v>
      </c>
      <c r="E28" s="19">
        <v>11.15</v>
      </c>
      <c r="F28" s="19">
        <v>8.2110000000000003</v>
      </c>
      <c r="G28" s="19">
        <v>10.108000000000001</v>
      </c>
    </row>
    <row r="29" spans="1:7">
      <c r="A29" s="5" t="s">
        <v>303</v>
      </c>
      <c r="B29" s="19">
        <v>-144.30000000000001</v>
      </c>
      <c r="C29" s="19" t="s">
        <v>29</v>
      </c>
      <c r="D29" s="19" t="s">
        <v>29</v>
      </c>
      <c r="E29" s="19" t="s">
        <v>29</v>
      </c>
      <c r="F29" s="19" t="s">
        <v>29</v>
      </c>
      <c r="G29" s="19" t="s">
        <v>29</v>
      </c>
    </row>
    <row r="30" spans="1:7">
      <c r="A30" s="5" t="s">
        <v>304</v>
      </c>
      <c r="B30" s="19">
        <v>28.542000000000002</v>
      </c>
      <c r="C30" s="19">
        <v>51.142000000000003</v>
      </c>
      <c r="D30" s="19">
        <v>43.427</v>
      </c>
      <c r="E30" s="19">
        <v>151.91</v>
      </c>
      <c r="F30" s="19">
        <v>10.718999999999999</v>
      </c>
      <c r="G30" s="19">
        <v>131.38200000000001</v>
      </c>
    </row>
    <row r="31" spans="1:7">
      <c r="A31" s="5" t="s">
        <v>305</v>
      </c>
      <c r="B31" s="19">
        <v>-1.9</v>
      </c>
      <c r="C31" s="19">
        <v>-7.2</v>
      </c>
      <c r="D31" s="19">
        <v>-497.3</v>
      </c>
      <c r="E31" s="19">
        <v>166.2</v>
      </c>
      <c r="F31" s="19">
        <v>-271.39999999999998</v>
      </c>
      <c r="G31" s="19">
        <v>-237.7</v>
      </c>
    </row>
    <row r="32" spans="1:7">
      <c r="A32" s="5" t="s">
        <v>306</v>
      </c>
      <c r="B32" s="19">
        <v>129.27699999999999</v>
      </c>
      <c r="C32" s="19">
        <v>-135.19999999999999</v>
      </c>
      <c r="D32" s="19">
        <v>-439.6</v>
      </c>
      <c r="E32" s="19">
        <v>-679.7</v>
      </c>
      <c r="F32" s="19">
        <v>-154.19999999999999</v>
      </c>
      <c r="G32" s="19">
        <v>-255.8</v>
      </c>
    </row>
    <row r="33" spans="1:7">
      <c r="A33" s="5" t="s">
        <v>307</v>
      </c>
      <c r="B33" s="19">
        <v>-59.1</v>
      </c>
      <c r="C33" s="19">
        <v>85.783000000000001</v>
      </c>
      <c r="D33" s="19">
        <v>482.39400000000001</v>
      </c>
      <c r="E33" s="19">
        <v>-54.8</v>
      </c>
      <c r="F33" s="19">
        <v>383.7</v>
      </c>
      <c r="G33" s="19">
        <v>531.21600000000001</v>
      </c>
    </row>
    <row r="34" spans="1:7">
      <c r="A34" s="5" t="s">
        <v>308</v>
      </c>
      <c r="B34" s="19">
        <v>-37.1</v>
      </c>
      <c r="C34" s="19">
        <v>69.867000000000004</v>
      </c>
      <c r="D34" s="19">
        <v>179.035</v>
      </c>
      <c r="E34" s="19">
        <v>-139.69999999999999</v>
      </c>
      <c r="F34" s="19">
        <v>-36.5</v>
      </c>
      <c r="G34" s="19">
        <v>-141.5</v>
      </c>
    </row>
    <row r="35" spans="1:7" ht="10.5">
      <c r="A35" s="13" t="s">
        <v>309</v>
      </c>
      <c r="B35" s="27">
        <v>265.14800000000002</v>
      </c>
      <c r="C35" s="27">
        <v>384.72300000000001</v>
      </c>
      <c r="D35" s="27">
        <v>153.31299999999999</v>
      </c>
      <c r="E35" s="27">
        <v>-27.3</v>
      </c>
      <c r="F35" s="27">
        <v>479.18200000000002</v>
      </c>
      <c r="G35" s="27">
        <v>528.32000000000005</v>
      </c>
    </row>
    <row r="36" spans="1:7">
      <c r="A36" s="5"/>
      <c r="B36" s="5"/>
      <c r="C36" s="5"/>
      <c r="D36" s="5"/>
      <c r="E36" s="5"/>
      <c r="F36" s="5"/>
      <c r="G36" s="5"/>
    </row>
    <row r="37" spans="1:7">
      <c r="A37" s="5" t="s">
        <v>277</v>
      </c>
      <c r="B37" s="19">
        <v>-204.5</v>
      </c>
      <c r="C37" s="19">
        <v>-207</v>
      </c>
      <c r="D37" s="19">
        <v>-351.1</v>
      </c>
      <c r="E37" s="19">
        <v>-466</v>
      </c>
      <c r="F37" s="19">
        <v>-529.5</v>
      </c>
      <c r="G37" s="19">
        <v>-391.5</v>
      </c>
    </row>
    <row r="38" spans="1:7">
      <c r="A38" s="5" t="s">
        <v>310</v>
      </c>
      <c r="B38" s="19">
        <v>2.121</v>
      </c>
      <c r="C38" s="19">
        <v>4.3369999999999997</v>
      </c>
      <c r="D38" s="19">
        <v>5.4139999999999997</v>
      </c>
      <c r="E38" s="19">
        <v>6.1820000000000004</v>
      </c>
      <c r="F38" s="19">
        <v>11.776999999999999</v>
      </c>
      <c r="G38" s="19">
        <v>1.4750000000000001</v>
      </c>
    </row>
    <row r="39" spans="1:7">
      <c r="A39" s="5" t="s">
        <v>311</v>
      </c>
      <c r="B39" s="19">
        <v>0.45800000000000002</v>
      </c>
      <c r="C39" s="19" t="s">
        <v>29</v>
      </c>
      <c r="D39" s="19">
        <v>-211.5</v>
      </c>
      <c r="E39" s="19">
        <v>-147.6</v>
      </c>
      <c r="F39" s="19">
        <v>-188.1</v>
      </c>
      <c r="G39" s="19">
        <v>-0.2</v>
      </c>
    </row>
    <row r="40" spans="1:7">
      <c r="A40" s="5" t="s">
        <v>312</v>
      </c>
      <c r="B40" s="19">
        <v>0.64400000000000002</v>
      </c>
      <c r="C40" s="19">
        <v>138.60400000000001</v>
      </c>
      <c r="D40" s="19">
        <v>74.188999999999993</v>
      </c>
      <c r="E40" s="19">
        <v>35.701000000000001</v>
      </c>
      <c r="F40" s="19">
        <v>0.91</v>
      </c>
      <c r="G40" s="19">
        <v>0.51800000000000002</v>
      </c>
    </row>
    <row r="41" spans="1:7">
      <c r="A41" s="5" t="s">
        <v>313</v>
      </c>
      <c r="B41" s="19">
        <v>-19.100000000000001</v>
      </c>
      <c r="C41" s="19">
        <v>-80</v>
      </c>
      <c r="D41" s="19">
        <v>-24.2</v>
      </c>
      <c r="E41" s="19">
        <v>-19.7</v>
      </c>
      <c r="F41" s="19">
        <v>-49</v>
      </c>
      <c r="G41" s="19">
        <v>-37.4</v>
      </c>
    </row>
    <row r="42" spans="1:7">
      <c r="A42" s="5" t="s">
        <v>314</v>
      </c>
      <c r="B42" s="19">
        <v>-1.6</v>
      </c>
      <c r="C42" s="19">
        <v>-3.1</v>
      </c>
      <c r="D42" s="19">
        <v>0.32400000000000001</v>
      </c>
      <c r="E42" s="19">
        <v>14.917999999999999</v>
      </c>
      <c r="F42" s="19">
        <v>-2.4</v>
      </c>
      <c r="G42" s="19">
        <v>-1.6</v>
      </c>
    </row>
    <row r="43" spans="1:7">
      <c r="A43" s="5" t="s">
        <v>315</v>
      </c>
      <c r="B43" s="19">
        <v>0.112</v>
      </c>
      <c r="C43" s="19">
        <v>-12.3</v>
      </c>
      <c r="D43" s="19">
        <v>10.144</v>
      </c>
      <c r="E43" s="19">
        <v>1.1100000000000001</v>
      </c>
      <c r="F43" s="19">
        <v>6.3159999999999998</v>
      </c>
      <c r="G43" s="19">
        <v>-0.8</v>
      </c>
    </row>
    <row r="44" spans="1:7">
      <c r="A44" s="5" t="s">
        <v>316</v>
      </c>
      <c r="B44" s="19" t="s">
        <v>29</v>
      </c>
      <c r="C44" s="19">
        <v>-49.3</v>
      </c>
      <c r="D44" s="19">
        <v>0</v>
      </c>
      <c r="E44" s="19">
        <v>-1.6</v>
      </c>
      <c r="F44" s="19">
        <v>0</v>
      </c>
      <c r="G44" s="19">
        <v>1E-3</v>
      </c>
    </row>
    <row r="45" spans="1:7" ht="10.5">
      <c r="A45" s="13" t="s">
        <v>317</v>
      </c>
      <c r="B45" s="27">
        <v>-221.9</v>
      </c>
      <c r="C45" s="27">
        <v>-208.6</v>
      </c>
      <c r="D45" s="27">
        <v>-496.7</v>
      </c>
      <c r="E45" s="27">
        <v>-577</v>
      </c>
      <c r="F45" s="27">
        <v>-750</v>
      </c>
      <c r="G45" s="27">
        <v>-429.5</v>
      </c>
    </row>
    <row r="46" spans="1:7">
      <c r="A46" s="5"/>
      <c r="B46" s="5"/>
      <c r="C46" s="5"/>
      <c r="D46" s="5"/>
      <c r="E46" s="5"/>
      <c r="F46" s="5"/>
      <c r="G46" s="5"/>
    </row>
    <row r="47" spans="1:7">
      <c r="A47" s="5" t="s">
        <v>318</v>
      </c>
      <c r="B47" s="19" t="s">
        <v>29</v>
      </c>
      <c r="C47" s="19" t="s">
        <v>29</v>
      </c>
      <c r="D47" s="19" t="s">
        <v>29</v>
      </c>
      <c r="E47" s="19" t="s">
        <v>29</v>
      </c>
      <c r="F47" s="19" t="s">
        <v>29</v>
      </c>
      <c r="G47" s="19" t="s">
        <v>29</v>
      </c>
    </row>
    <row r="48" spans="1:7">
      <c r="A48" s="5" t="s">
        <v>319</v>
      </c>
      <c r="B48" s="19">
        <v>26.837</v>
      </c>
      <c r="C48" s="19">
        <v>6.49</v>
      </c>
      <c r="D48" s="19">
        <v>562.072</v>
      </c>
      <c r="E48" s="19">
        <v>120.31</v>
      </c>
      <c r="F48" s="19">
        <v>517.10599999999999</v>
      </c>
      <c r="G48" s="19">
        <v>806.03599999999994</v>
      </c>
    </row>
    <row r="49" spans="1:7" ht="10.5">
      <c r="A49" s="13" t="s">
        <v>320</v>
      </c>
      <c r="B49" s="27">
        <v>26.837</v>
      </c>
      <c r="C49" s="27">
        <v>6.49</v>
      </c>
      <c r="D49" s="27">
        <v>562.072</v>
      </c>
      <c r="E49" s="27">
        <v>120.31</v>
      </c>
      <c r="F49" s="27">
        <v>517.10599999999999</v>
      </c>
      <c r="G49" s="27">
        <v>806.03599999999994</v>
      </c>
    </row>
    <row r="50" spans="1:7">
      <c r="A50" s="5" t="s">
        <v>321</v>
      </c>
      <c r="B50" s="19" t="s">
        <v>29</v>
      </c>
      <c r="C50" s="19" t="s">
        <v>29</v>
      </c>
      <c r="D50" s="19" t="s">
        <v>29</v>
      </c>
      <c r="E50" s="19" t="s">
        <v>29</v>
      </c>
      <c r="F50" s="19" t="s">
        <v>29</v>
      </c>
      <c r="G50" s="19" t="s">
        <v>29</v>
      </c>
    </row>
    <row r="51" spans="1:7">
      <c r="A51" s="5" t="s">
        <v>322</v>
      </c>
      <c r="B51" s="19" t="s">
        <v>29</v>
      </c>
      <c r="C51" s="19" t="s">
        <v>29</v>
      </c>
      <c r="D51" s="19" t="s">
        <v>29</v>
      </c>
      <c r="E51" s="19" t="s">
        <v>29</v>
      </c>
      <c r="F51" s="19">
        <v>-16.5</v>
      </c>
      <c r="G51" s="19">
        <v>-19.8</v>
      </c>
    </row>
    <row r="52" spans="1:7" ht="10.5">
      <c r="A52" s="13" t="s">
        <v>323</v>
      </c>
      <c r="B52" s="27" t="s">
        <v>29</v>
      </c>
      <c r="C52" s="27" t="s">
        <v>29</v>
      </c>
      <c r="D52" s="27" t="s">
        <v>29</v>
      </c>
      <c r="E52" s="27" t="s">
        <v>29</v>
      </c>
      <c r="F52" s="27">
        <v>-16.5</v>
      </c>
      <c r="G52" s="27">
        <v>-19.8</v>
      </c>
    </row>
    <row r="53" spans="1:7">
      <c r="A53" s="5"/>
      <c r="B53" s="5"/>
      <c r="C53" s="5"/>
      <c r="D53" s="5"/>
      <c r="E53" s="5"/>
      <c r="F53" s="5"/>
      <c r="G53" s="5"/>
    </row>
    <row r="54" spans="1:7">
      <c r="A54" s="5" t="s">
        <v>324</v>
      </c>
      <c r="B54" s="19" t="s">
        <v>29</v>
      </c>
      <c r="C54" s="19">
        <v>38.040999999999997</v>
      </c>
      <c r="D54" s="19">
        <v>5.9720000000000004</v>
      </c>
      <c r="E54" s="19">
        <v>881.36400000000003</v>
      </c>
      <c r="F54" s="19" t="s">
        <v>29</v>
      </c>
      <c r="G54" s="19" t="s">
        <v>29</v>
      </c>
    </row>
    <row r="55" spans="1:7">
      <c r="A55" s="5" t="s">
        <v>325</v>
      </c>
      <c r="B55" s="19">
        <v>-9.8000000000000007</v>
      </c>
      <c r="C55" s="19" t="s">
        <v>29</v>
      </c>
      <c r="D55" s="19" t="s">
        <v>29</v>
      </c>
      <c r="E55" s="19">
        <v>-79.400000000000006</v>
      </c>
      <c r="F55" s="19">
        <v>-29</v>
      </c>
      <c r="G55" s="19">
        <v>-26.9</v>
      </c>
    </row>
    <row r="56" spans="1:7">
      <c r="A56" s="5"/>
      <c r="B56" s="5"/>
      <c r="C56" s="5"/>
      <c r="D56" s="5"/>
      <c r="E56" s="5"/>
      <c r="F56" s="5"/>
      <c r="G56" s="5"/>
    </row>
    <row r="57" spans="1:7">
      <c r="A57" s="5" t="s">
        <v>326</v>
      </c>
      <c r="B57" s="19">
        <v>-108.6</v>
      </c>
      <c r="C57" s="19">
        <v>-138.30000000000001</v>
      </c>
      <c r="D57" s="19">
        <v>-150.69999999999999</v>
      </c>
      <c r="E57" s="19">
        <v>-175.3</v>
      </c>
      <c r="F57" s="19">
        <v>-186.4</v>
      </c>
      <c r="G57" s="19">
        <v>-60.1</v>
      </c>
    </row>
    <row r="58" spans="1:7" ht="10.5">
      <c r="A58" s="13" t="s">
        <v>327</v>
      </c>
      <c r="B58" s="27">
        <v>-108.6</v>
      </c>
      <c r="C58" s="27">
        <v>-138.30000000000001</v>
      </c>
      <c r="D58" s="27">
        <v>-150.69999999999999</v>
      </c>
      <c r="E58" s="27">
        <v>-175.3</v>
      </c>
      <c r="F58" s="27">
        <v>-186.4</v>
      </c>
      <c r="G58" s="27">
        <v>-60.1</v>
      </c>
    </row>
    <row r="59" spans="1:7">
      <c r="A59" s="5"/>
      <c r="B59" s="5"/>
      <c r="C59" s="5"/>
      <c r="D59" s="5"/>
      <c r="E59" s="5"/>
      <c r="F59" s="5"/>
      <c r="G59" s="5"/>
    </row>
    <row r="60" spans="1:7">
      <c r="A60" s="5" t="s">
        <v>328</v>
      </c>
      <c r="B60" s="19" t="s">
        <v>29</v>
      </c>
      <c r="C60" s="19" t="s">
        <v>29</v>
      </c>
      <c r="D60" s="19" t="s">
        <v>29</v>
      </c>
      <c r="E60" s="19" t="s">
        <v>29</v>
      </c>
      <c r="F60" s="19" t="s">
        <v>29</v>
      </c>
      <c r="G60" s="19" t="s">
        <v>29</v>
      </c>
    </row>
    <row r="61" spans="1:7">
      <c r="A61" s="5" t="s">
        <v>329</v>
      </c>
      <c r="B61" s="19">
        <v>-7.5</v>
      </c>
      <c r="C61" s="19">
        <v>-11.2</v>
      </c>
      <c r="D61" s="19">
        <v>-19.600000000000001</v>
      </c>
      <c r="E61" s="19">
        <v>-41</v>
      </c>
      <c r="F61" s="19">
        <v>-35.299999999999997</v>
      </c>
      <c r="G61" s="19">
        <v>-61.1</v>
      </c>
    </row>
    <row r="62" spans="1:7" ht="10.5">
      <c r="A62" s="13" t="s">
        <v>330</v>
      </c>
      <c r="B62" s="27">
        <v>-99.1</v>
      </c>
      <c r="C62" s="27">
        <v>-104.9</v>
      </c>
      <c r="D62" s="27">
        <v>397.76799999999997</v>
      </c>
      <c r="E62" s="27">
        <v>705.98199999999997</v>
      </c>
      <c r="F62" s="27">
        <v>249.96899999999999</v>
      </c>
      <c r="G62" s="27">
        <v>638.07600000000002</v>
      </c>
    </row>
    <row r="63" spans="1:7">
      <c r="A63" s="5"/>
      <c r="B63" s="5"/>
      <c r="C63" s="5"/>
      <c r="D63" s="5"/>
      <c r="E63" s="5"/>
      <c r="F63" s="5"/>
      <c r="G63" s="5"/>
    </row>
    <row r="64" spans="1:7">
      <c r="A64" s="5" t="s">
        <v>331</v>
      </c>
      <c r="B64" s="19">
        <v>-17.3</v>
      </c>
      <c r="C64" s="19">
        <v>1.401</v>
      </c>
      <c r="D64" s="19">
        <v>13.997</v>
      </c>
      <c r="E64" s="19">
        <v>-0.5</v>
      </c>
      <c r="F64" s="19">
        <v>2.9969999999999999</v>
      </c>
      <c r="G64" s="19">
        <v>25.465</v>
      </c>
    </row>
    <row r="65" spans="1:7">
      <c r="A65" s="5" t="s">
        <v>332</v>
      </c>
      <c r="B65" s="19">
        <v>36.377000000000002</v>
      </c>
      <c r="C65" s="19">
        <v>-67.5</v>
      </c>
      <c r="D65" s="19">
        <v>16.222999999999999</v>
      </c>
      <c r="E65" s="19" t="s">
        <v>29</v>
      </c>
      <c r="F65" s="19" t="s">
        <v>29</v>
      </c>
      <c r="G65" s="19">
        <v>1E-3</v>
      </c>
    </row>
    <row r="66" spans="1:7" ht="10.5">
      <c r="A66" s="13" t="s">
        <v>333</v>
      </c>
      <c r="B66" s="28">
        <v>-36.799999999999997</v>
      </c>
      <c r="C66" s="28">
        <v>5.1079999999999997</v>
      </c>
      <c r="D66" s="28">
        <v>84.623000000000005</v>
      </c>
      <c r="E66" s="28">
        <v>101.217</v>
      </c>
      <c r="F66" s="28">
        <v>-17.899999999999999</v>
      </c>
      <c r="G66" s="28">
        <v>762.399</v>
      </c>
    </row>
    <row r="67" spans="1:7">
      <c r="A67" s="5"/>
      <c r="B67" s="5"/>
      <c r="C67" s="5"/>
      <c r="D67" s="5"/>
      <c r="E67" s="5"/>
      <c r="F67" s="5"/>
      <c r="G67" s="5"/>
    </row>
    <row r="68" spans="1:7" ht="10.5">
      <c r="A68" s="13" t="s">
        <v>74</v>
      </c>
      <c r="B68" s="5"/>
      <c r="C68" s="5"/>
      <c r="D68" s="5"/>
      <c r="E68" s="5"/>
      <c r="F68" s="5"/>
      <c r="G68" s="5"/>
    </row>
    <row r="69" spans="1:7">
      <c r="A69" s="5" t="s">
        <v>334</v>
      </c>
      <c r="B69" s="19">
        <v>9.3309999999999995</v>
      </c>
      <c r="C69" s="19">
        <v>9.6669999999999998</v>
      </c>
      <c r="D69" s="19">
        <v>18.398</v>
      </c>
      <c r="E69" s="19">
        <v>37.615000000000002</v>
      </c>
      <c r="F69" s="19">
        <v>44.158000000000001</v>
      </c>
      <c r="G69" s="19">
        <v>59.689</v>
      </c>
    </row>
    <row r="70" spans="1:7">
      <c r="A70" s="5" t="s">
        <v>335</v>
      </c>
      <c r="B70" s="19">
        <v>80.930999999999997</v>
      </c>
      <c r="C70" s="19">
        <v>65.301000000000002</v>
      </c>
      <c r="D70" s="19">
        <v>74.448999999999998</v>
      </c>
      <c r="E70" s="19">
        <v>127.446</v>
      </c>
      <c r="F70" s="19">
        <v>86.661000000000001</v>
      </c>
      <c r="G70" s="19">
        <v>78.954999999999998</v>
      </c>
    </row>
    <row r="71" spans="1:7">
      <c r="A71" s="5" t="s">
        <v>336</v>
      </c>
      <c r="B71" s="19">
        <v>-21.9</v>
      </c>
      <c r="C71" s="19">
        <v>56.391750000000002</v>
      </c>
      <c r="D71" s="19">
        <v>-292.7</v>
      </c>
      <c r="E71" s="19">
        <v>-494.3</v>
      </c>
      <c r="F71" s="19">
        <v>-154</v>
      </c>
      <c r="G71" s="19">
        <v>107.375125</v>
      </c>
    </row>
    <row r="72" spans="1:7">
      <c r="A72" s="5" t="s">
        <v>337</v>
      </c>
      <c r="B72" s="19">
        <v>-16.600000000000001</v>
      </c>
      <c r="C72" s="19">
        <v>62.602375000000002</v>
      </c>
      <c r="D72" s="19">
        <v>-278</v>
      </c>
      <c r="E72" s="19">
        <v>-469.9</v>
      </c>
      <c r="F72" s="19">
        <v>-125.4</v>
      </c>
      <c r="G72" s="19">
        <v>145.91200000000001</v>
      </c>
    </row>
    <row r="73" spans="1:7">
      <c r="A73" s="5" t="s">
        <v>338</v>
      </c>
      <c r="B73" s="19">
        <v>116.08499999999999</v>
      </c>
      <c r="C73" s="19">
        <v>2.851</v>
      </c>
      <c r="D73" s="19">
        <v>303.21800000000002</v>
      </c>
      <c r="E73" s="19">
        <v>518.71900000000005</v>
      </c>
      <c r="F73" s="19">
        <v>79.194000000000003</v>
      </c>
      <c r="G73" s="19">
        <v>-34.4</v>
      </c>
    </row>
    <row r="74" spans="1:7">
      <c r="A74" s="5" t="s">
        <v>339</v>
      </c>
      <c r="B74" s="19">
        <v>26.837</v>
      </c>
      <c r="C74" s="19">
        <v>6.49</v>
      </c>
      <c r="D74" s="19">
        <v>562.072</v>
      </c>
      <c r="E74" s="19">
        <v>120.31</v>
      </c>
      <c r="F74" s="19">
        <v>500.57</v>
      </c>
      <c r="G74" s="19">
        <v>786.23500000000001</v>
      </c>
    </row>
    <row r="75" spans="1:7">
      <c r="A75" s="5" t="s">
        <v>98</v>
      </c>
      <c r="B75" s="31">
        <v>42818</v>
      </c>
      <c r="C75" s="31">
        <v>43182</v>
      </c>
      <c r="D75" s="31">
        <v>43544</v>
      </c>
      <c r="E75" s="31">
        <v>43921</v>
      </c>
      <c r="F75" s="31">
        <v>44281</v>
      </c>
      <c r="G75" s="31">
        <v>44281</v>
      </c>
    </row>
    <row r="76" spans="1:7">
      <c r="A76" s="5" t="s">
        <v>99</v>
      </c>
      <c r="B76" s="18" t="s">
        <v>101</v>
      </c>
      <c r="C76" s="18" t="s">
        <v>100</v>
      </c>
      <c r="D76" s="18" t="s">
        <v>100</v>
      </c>
      <c r="E76" s="18" t="s">
        <v>101</v>
      </c>
      <c r="F76" s="18" t="s">
        <v>100</v>
      </c>
      <c r="G76" s="18" t="s">
        <v>102</v>
      </c>
    </row>
    <row r="77" spans="1:7">
      <c r="A77" s="5" t="s">
        <v>103</v>
      </c>
      <c r="B77" s="18" t="s">
        <v>104</v>
      </c>
      <c r="C77" s="18" t="s">
        <v>104</v>
      </c>
      <c r="D77" s="18" t="s">
        <v>104</v>
      </c>
      <c r="E77" s="18" t="s">
        <v>104</v>
      </c>
      <c r="F77" s="18" t="s">
        <v>104</v>
      </c>
      <c r="G77" s="18" t="s">
        <v>104</v>
      </c>
    </row>
    <row r="78" spans="1:7">
      <c r="A78" s="5"/>
      <c r="B78" s="5"/>
      <c r="C78" s="5"/>
      <c r="D78" s="5"/>
      <c r="E78" s="5"/>
      <c r="F78" s="5"/>
      <c r="G78" s="5"/>
    </row>
    <row r="79" spans="1:7">
      <c r="A79" s="5"/>
      <c r="B79" s="5" t="s">
        <v>105</v>
      </c>
      <c r="C79" s="5" t="s">
        <v>105</v>
      </c>
      <c r="D79" s="5" t="s">
        <v>105</v>
      </c>
      <c r="E79" s="5" t="s">
        <v>105</v>
      </c>
      <c r="F79" s="5" t="s">
        <v>105</v>
      </c>
      <c r="G79" s="5" t="s">
        <v>105</v>
      </c>
    </row>
    <row r="80" spans="1:7">
      <c r="A80" s="5" t="s">
        <v>24</v>
      </c>
      <c r="B80" s="18" t="s">
        <v>25</v>
      </c>
      <c r="C80" s="18" t="s">
        <v>25</v>
      </c>
      <c r="D80" s="18" t="s">
        <v>25</v>
      </c>
      <c r="E80" s="18" t="s">
        <v>25</v>
      </c>
      <c r="F80" s="18" t="s">
        <v>25</v>
      </c>
      <c r="G80" s="18" t="s">
        <v>25</v>
      </c>
    </row>
    <row r="81" spans="1:13">
      <c r="A81" s="5" t="s">
        <v>106</v>
      </c>
      <c r="B81" s="19">
        <v>1</v>
      </c>
      <c r="C81" s="19">
        <v>1</v>
      </c>
      <c r="D81" s="19">
        <v>1</v>
      </c>
      <c r="E81" s="19">
        <v>1</v>
      </c>
      <c r="F81" s="19">
        <v>1</v>
      </c>
      <c r="G81" s="19">
        <v>1</v>
      </c>
    </row>
    <row r="82" spans="1:13">
      <c r="A82" s="5" t="s">
        <v>107</v>
      </c>
      <c r="B82" s="18" t="s">
        <v>108</v>
      </c>
      <c r="C82" s="18" t="s">
        <v>108</v>
      </c>
      <c r="D82" s="18" t="s">
        <v>108</v>
      </c>
      <c r="E82" s="18" t="s">
        <v>108</v>
      </c>
      <c r="F82" s="18" t="s">
        <v>108</v>
      </c>
      <c r="G82" s="18" t="s">
        <v>108</v>
      </c>
    </row>
    <row r="83" spans="1:13" ht="60">
      <c r="A83" s="37" t="s">
        <v>110</v>
      </c>
      <c r="B83" s="20"/>
      <c r="C83" s="20"/>
      <c r="D83" s="20"/>
      <c r="E83" s="20"/>
      <c r="F83" s="20"/>
      <c r="G83" s="20"/>
      <c r="H83" s="20"/>
      <c r="I83" s="20"/>
      <c r="J83" s="20"/>
      <c r="K83" s="20"/>
      <c r="L83" s="20"/>
      <c r="M83" s="2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82DE7-83A6-4955-B70F-6564983FDE1A}">
  <sheetPr>
    <tabColor rgb="FFFF0000"/>
  </sheetPr>
  <dimension ref="B2:AA47"/>
  <sheetViews>
    <sheetView zoomScale="30" zoomScaleNormal="110" workbookViewId="0">
      <selection activeCell="Q30" sqref="Q30"/>
    </sheetView>
  </sheetViews>
  <sheetFormatPr baseColWidth="10" defaultColWidth="11.453125" defaultRowHeight="14.5"/>
  <cols>
    <col min="6" max="6" width="55.453125" customWidth="1"/>
    <col min="7" max="7" width="16.08984375" customWidth="1"/>
    <col min="8" max="8" width="15.08984375" customWidth="1"/>
    <col min="9" max="9" width="14.453125" customWidth="1"/>
    <col min="10" max="10" width="13.54296875" customWidth="1"/>
    <col min="11" max="11" width="13.08984375" customWidth="1"/>
    <col min="13" max="13" width="12.90625" customWidth="1"/>
    <col min="14" max="14" width="14.453125" customWidth="1"/>
    <col min="15" max="15" width="13.453125" customWidth="1"/>
    <col min="16" max="16" width="13.08984375" customWidth="1"/>
    <col min="17" max="17" width="14.453125" customWidth="1"/>
    <col min="18" max="18" width="20.36328125" bestFit="1" customWidth="1"/>
    <col min="19" max="19" width="15.90625" bestFit="1" customWidth="1"/>
    <col min="20" max="20" width="81.36328125" bestFit="1" customWidth="1"/>
  </cols>
  <sheetData>
    <row r="2" spans="2:27" ht="15" thickBot="1">
      <c r="K2" s="52"/>
    </row>
    <row r="3" spans="2:27" ht="19.5">
      <c r="B3" s="125"/>
      <c r="C3" s="88" t="s">
        <v>237</v>
      </c>
      <c r="D3" s="126"/>
      <c r="F3" s="87" t="s">
        <v>340</v>
      </c>
      <c r="G3" s="108">
        <v>2015</v>
      </c>
      <c r="H3" s="108">
        <v>2016</v>
      </c>
      <c r="I3" s="108">
        <v>2017</v>
      </c>
      <c r="J3" s="108">
        <v>2018</v>
      </c>
      <c r="K3" s="108">
        <v>2019</v>
      </c>
      <c r="L3" s="112">
        <f>2020</f>
        <v>2020</v>
      </c>
      <c r="M3" s="111">
        <v>2021</v>
      </c>
      <c r="N3" s="109">
        <v>2022</v>
      </c>
      <c r="O3" s="109">
        <v>2023</v>
      </c>
      <c r="P3" s="109">
        <v>2024</v>
      </c>
      <c r="Q3" s="110">
        <v>2025</v>
      </c>
      <c r="S3" s="486" t="s">
        <v>341</v>
      </c>
      <c r="T3" s="487" t="s">
        <v>342</v>
      </c>
    </row>
    <row r="4" spans="2:27" ht="15.5">
      <c r="B4" s="644" t="s">
        <v>21</v>
      </c>
      <c r="C4" s="645"/>
      <c r="D4" s="646"/>
      <c r="F4" s="90" t="s">
        <v>343</v>
      </c>
      <c r="G4" s="75"/>
      <c r="H4" s="91"/>
      <c r="I4" s="91"/>
      <c r="J4" s="91"/>
      <c r="K4" s="91"/>
      <c r="L4" s="264"/>
      <c r="M4" s="265"/>
      <c r="N4" s="265"/>
      <c r="O4" s="265"/>
      <c r="P4" s="265"/>
      <c r="Q4" s="92"/>
      <c r="S4" s="216"/>
      <c r="T4" s="484"/>
    </row>
    <row r="5" spans="2:27" ht="15.5">
      <c r="B5" s="644" t="s">
        <v>112</v>
      </c>
      <c r="C5" s="645"/>
      <c r="D5" s="646"/>
      <c r="F5" s="127" t="s">
        <v>241</v>
      </c>
      <c r="G5" s="133">
        <f>'Market data'!G5*'Market data'!G11</f>
        <v>1093.7</v>
      </c>
      <c r="H5" s="154">
        <f>'Market data'!H5*'Market data'!H11</f>
        <v>1163</v>
      </c>
      <c r="I5" s="154">
        <f>'Market data'!I5*'Market data'!I11</f>
        <v>1253</v>
      </c>
      <c r="J5" s="154">
        <f>'Market data'!J5*'Market data'!J11</f>
        <v>1360</v>
      </c>
      <c r="K5" s="154">
        <f>'Market data'!K5*'Market data'!K11</f>
        <v>1460</v>
      </c>
      <c r="L5" s="155">
        <f>'Market data'!L5*'Market data'!L11</f>
        <v>1363.9999999999998</v>
      </c>
      <c r="M5" s="160">
        <f>_xlfn.FORECAST.LINEAR(M3,G5:L5,G3:L3)</f>
        <v>1517.2333333333372</v>
      </c>
      <c r="N5" s="154">
        <f>_xlfn.FORECAST.LINEAR(N3,G5:M5,G3:M3)</f>
        <v>1584.3619047618995</v>
      </c>
      <c r="O5" s="154">
        <f>_xlfn.FORECAST.LINEAR(O3,G5:N5,G3:N3)</f>
        <v>1651.4904761904909</v>
      </c>
      <c r="P5" s="154">
        <f>_xlfn.FORECAST.LINEAR(P3,G5:O5,G3:O3)</f>
        <v>1718.6190476190532</v>
      </c>
      <c r="Q5" s="134">
        <f>_xlfn.FORECAST.LINEAR(Q3,G5:P5,G3:P3)</f>
        <v>1785.7476190476154</v>
      </c>
      <c r="R5">
        <f>Q5/Q10</f>
        <v>0.38980041697263751</v>
      </c>
      <c r="S5" s="216" t="s">
        <v>344</v>
      </c>
      <c r="T5" s="484" t="s">
        <v>345</v>
      </c>
      <c r="V5" s="61"/>
      <c r="W5" s="61"/>
      <c r="X5" s="61"/>
      <c r="Y5" s="61"/>
      <c r="Z5" s="61"/>
    </row>
    <row r="6" spans="2:27" ht="15.5">
      <c r="B6" s="644" t="s">
        <v>247</v>
      </c>
      <c r="C6" s="645"/>
      <c r="D6" s="646"/>
      <c r="F6" s="127" t="s">
        <v>243</v>
      </c>
      <c r="G6" s="51">
        <f>'Market data'!G6*'Market data'!G12</f>
        <v>586.9</v>
      </c>
      <c r="H6" s="61">
        <f>'Market data'!H6*'Market data'!H12</f>
        <v>610</v>
      </c>
      <c r="I6" s="61">
        <f>'Market data'!I6*'Market data'!I12</f>
        <v>894</v>
      </c>
      <c r="J6" s="61">
        <f>'Market data'!J6*'Market data'!J12</f>
        <v>1289</v>
      </c>
      <c r="K6" s="61">
        <f>'Market data'!K6*'Market data'!K12</f>
        <v>1225</v>
      </c>
      <c r="L6" s="156">
        <f>'Market data'!L6*'Market data'!L12</f>
        <v>1045</v>
      </c>
      <c r="M6" s="161">
        <f>_xlfn.FORECAST.LINEAR(M3,$G6:L6,$G3:L3)</f>
        <v>1394.7000000000116</v>
      </c>
      <c r="N6" s="61">
        <f>_xlfn.FORECAST.LINEAR(N3,$G6:M6,$G3:M3)</f>
        <v>1524.1428571428696</v>
      </c>
      <c r="O6" s="61">
        <f>_xlfn.FORECAST.LINEAR(O3,$G6:N6,$G3:N3)</f>
        <v>1653.5857142856985</v>
      </c>
      <c r="P6" s="61">
        <f>_xlfn.FORECAST.LINEAR(P3,$G6:O6,$G3:O3)</f>
        <v>1783.0285714285856</v>
      </c>
      <c r="Q6" s="128">
        <f>_xlfn.FORECAST.LINEAR(Q3,$G6:P6,$G3:P3)</f>
        <v>1912.4714285714144</v>
      </c>
      <c r="R6">
        <f>Q6/Q10</f>
        <v>0.41746221714296766</v>
      </c>
      <c r="S6" s="216" t="s">
        <v>344</v>
      </c>
      <c r="T6" s="484" t="s">
        <v>345</v>
      </c>
      <c r="W6" s="61"/>
      <c r="X6" s="61"/>
      <c r="Y6" s="61"/>
      <c r="Z6" s="61"/>
      <c r="AA6" s="61"/>
    </row>
    <row r="7" spans="2:27" ht="15.5">
      <c r="B7" s="644" t="s">
        <v>246</v>
      </c>
      <c r="C7" s="645"/>
      <c r="D7" s="646"/>
      <c r="F7" s="127" t="s">
        <v>244</v>
      </c>
      <c r="G7" s="425">
        <v>662.9</v>
      </c>
      <c r="H7" s="426">
        <v>641</v>
      </c>
      <c r="I7" s="426">
        <v>650</v>
      </c>
      <c r="J7" s="426">
        <v>626</v>
      </c>
      <c r="K7" s="426">
        <v>681</v>
      </c>
      <c r="L7" s="427">
        <v>836</v>
      </c>
      <c r="M7" s="161">
        <f>_xlfn.FORECAST.LINEAR(M3,$G7:L7,$G3:L3)</f>
        <v>778.96666666666715</v>
      </c>
      <c r="N7" s="61">
        <f>_xlfn.FORECAST.LINEAR(N3,$G7:M7,$G3:M3)</f>
        <v>806.43809523809614</v>
      </c>
      <c r="O7" s="61">
        <f>_xlfn.FORECAST.LINEAR(O3,$G7:N7,$G3:N3)</f>
        <v>833.90952380952513</v>
      </c>
      <c r="P7" s="61">
        <f>_xlfn.FORECAST.LINEAR(P3,$G7:O7,$G3:O3)</f>
        <v>861.38095238095411</v>
      </c>
      <c r="Q7" s="128">
        <f>_xlfn.FORECAST.LINEAR(Q3,$G7:P7,$G3:P3)</f>
        <v>888.8523809523831</v>
      </c>
      <c r="R7">
        <f>Q7/Q10</f>
        <v>0.19402239433316143</v>
      </c>
      <c r="S7" s="216" t="s">
        <v>344</v>
      </c>
      <c r="T7" s="484" t="s">
        <v>345</v>
      </c>
      <c r="W7" s="61"/>
      <c r="X7" s="61"/>
      <c r="Y7" s="61"/>
      <c r="Z7" s="61"/>
      <c r="AA7" s="61"/>
    </row>
    <row r="8" spans="2:27" ht="15.5">
      <c r="B8" s="644" t="s">
        <v>252</v>
      </c>
      <c r="C8" s="645"/>
      <c r="D8" s="646"/>
      <c r="F8" s="127" t="s">
        <v>265</v>
      </c>
      <c r="G8" s="425">
        <v>0</v>
      </c>
      <c r="H8" s="426">
        <v>0</v>
      </c>
      <c r="I8" s="426">
        <v>0</v>
      </c>
      <c r="J8" s="426">
        <v>0</v>
      </c>
      <c r="K8" s="426">
        <v>0</v>
      </c>
      <c r="L8" s="427">
        <v>0</v>
      </c>
      <c r="M8" s="161">
        <f>_xlfn.FORECAST.LINEAR(M3,$G8:$L8,G3:L3)</f>
        <v>0</v>
      </c>
      <c r="N8" s="61">
        <f>_xlfn.FORECAST.LINEAR(N3,$G8:M8,$G3:M3)</f>
        <v>0</v>
      </c>
      <c r="O8" s="61">
        <f>_xlfn.FORECAST.LINEAR(O3,$G8:N8,$G3:N3)</f>
        <v>0</v>
      </c>
      <c r="P8" s="61">
        <f>_xlfn.FORECAST.LINEAR(P3,$G8:O8,$G3:O3)</f>
        <v>0</v>
      </c>
      <c r="Q8" s="128">
        <f>_xlfn.FORECAST.LINEAR(Q3,$G8:P8,$G3:P3)</f>
        <v>0</v>
      </c>
      <c r="R8" s="61">
        <f>L5/L$10</f>
        <v>0.42118654796863947</v>
      </c>
      <c r="S8" s="216" t="s">
        <v>344</v>
      </c>
      <c r="T8" s="484" t="s">
        <v>345</v>
      </c>
    </row>
    <row r="9" spans="2:27" ht="16" thickBot="1">
      <c r="B9" s="644" t="s">
        <v>249</v>
      </c>
      <c r="C9" s="645"/>
      <c r="D9" s="646"/>
      <c r="F9" s="127" t="s">
        <v>266</v>
      </c>
      <c r="G9" s="425">
        <v>-6.327</v>
      </c>
      <c r="H9" s="426">
        <v>-5.45</v>
      </c>
      <c r="I9" s="426">
        <v>-6.42</v>
      </c>
      <c r="J9" s="426">
        <v>-4.83</v>
      </c>
      <c r="K9" s="426">
        <v>-5.6669999999999998</v>
      </c>
      <c r="L9" s="427">
        <v>-6.53</v>
      </c>
      <c r="M9" s="161">
        <f>_xlfn.FORECAST.LINEAR(M3,$G9:L9,$G3:L3)</f>
        <v>-5.8782666666666676</v>
      </c>
      <c r="N9" s="61">
        <f>_xlfn.FORECAST.LINEAR(N3,$G9:M9,$G3:M3)</f>
        <v>-5.8804380952380964</v>
      </c>
      <c r="O9" s="61">
        <f>_xlfn.FORECAST.LINEAR(O3,$G9:N9,$G3:N3)</f>
        <v>-5.882609523809526</v>
      </c>
      <c r="P9" s="61">
        <f>_xlfn.FORECAST.LINEAR(P3,$G9:O9,$G3:O3)</f>
        <v>-5.8847809523809556</v>
      </c>
      <c r="Q9" s="128">
        <f>_xlfn.FORECAST.LINEAR(Q3,$G9:P9,$G3:P3)</f>
        <v>-5.8869523809523852</v>
      </c>
      <c r="R9" s="61">
        <f t="shared" ref="R9:R10" si="0">L6/L$10</f>
        <v>0.3226832423953287</v>
      </c>
      <c r="S9" s="251" t="s">
        <v>344</v>
      </c>
      <c r="T9" s="485" t="s">
        <v>345</v>
      </c>
    </row>
    <row r="10" spans="2:27" ht="16" thickBot="1">
      <c r="B10" s="644" t="s">
        <v>242</v>
      </c>
      <c r="C10" s="645"/>
      <c r="D10" s="646"/>
      <c r="F10" s="93" t="s">
        <v>346</v>
      </c>
      <c r="G10" s="136">
        <f t="shared" ref="G10:K10" si="1">SUM(G5:G9)</f>
        <v>2337.1729999999998</v>
      </c>
      <c r="H10" s="158">
        <f t="shared" si="1"/>
        <v>2408.5500000000002</v>
      </c>
      <c r="I10" s="158">
        <f t="shared" si="1"/>
        <v>2790.58</v>
      </c>
      <c r="J10" s="158">
        <f t="shared" si="1"/>
        <v>3270.17</v>
      </c>
      <c r="K10" s="158">
        <f t="shared" si="1"/>
        <v>3360.3330000000001</v>
      </c>
      <c r="L10" s="159">
        <f t="shared" ref="L10:Q10" si="2">SUM(L5:L9)</f>
        <v>3238.47</v>
      </c>
      <c r="M10" s="162">
        <f t="shared" si="2"/>
        <v>3685.0217333333494</v>
      </c>
      <c r="N10" s="158">
        <f t="shared" si="2"/>
        <v>3909.0624190476274</v>
      </c>
      <c r="O10" s="158">
        <f t="shared" si="2"/>
        <v>4133.1031047619053</v>
      </c>
      <c r="P10" s="158">
        <f t="shared" si="2"/>
        <v>4357.1437904762115</v>
      </c>
      <c r="Q10" s="137">
        <f t="shared" si="2"/>
        <v>4581.1844761904604</v>
      </c>
      <c r="R10" s="61">
        <f t="shared" si="0"/>
        <v>0.25814659391626293</v>
      </c>
    </row>
    <row r="11" spans="2:27" ht="15.5">
      <c r="B11" s="644" t="s">
        <v>239</v>
      </c>
      <c r="C11" s="645"/>
      <c r="D11" s="646"/>
      <c r="F11" s="127" t="s">
        <v>347</v>
      </c>
      <c r="G11" s="425">
        <v>-955.820999999999</v>
      </c>
      <c r="H11" s="426">
        <v>-1005.445999999999</v>
      </c>
      <c r="I11" s="426">
        <v>-1167.7440000000006</v>
      </c>
      <c r="J11" s="426">
        <v>-1408.7170000000006</v>
      </c>
      <c r="K11" s="426">
        <v>-1514.3809999999994</v>
      </c>
      <c r="L11" s="426">
        <v>-1347.6770000000033</v>
      </c>
      <c r="M11" s="428">
        <f>-$M37*M$10</f>
        <v>-1615.9951368301295</v>
      </c>
      <c r="N11" s="429">
        <f>-$M37*N$10</f>
        <v>-1714.2438541419981</v>
      </c>
      <c r="O11" s="429">
        <f>-$M37*O$10</f>
        <v>-1812.492571453867</v>
      </c>
      <c r="P11" s="429">
        <f>-$M37*P$10</f>
        <v>-1910.7412887657479</v>
      </c>
      <c r="Q11" s="430">
        <f>-$M37*Q$10</f>
        <v>-2008.990006077604</v>
      </c>
    </row>
    <row r="12" spans="2:27" ht="15.5">
      <c r="B12" s="644" t="s">
        <v>251</v>
      </c>
      <c r="C12" s="645"/>
      <c r="D12" s="646"/>
      <c r="F12" s="127" t="s">
        <v>348</v>
      </c>
      <c r="G12" s="425">
        <v>-1047.7069999999999</v>
      </c>
      <c r="H12" s="426">
        <v>-1032.069</v>
      </c>
      <c r="I12" s="426">
        <v>-1183.93</v>
      </c>
      <c r="J12" s="426">
        <v>-1268.232</v>
      </c>
      <c r="K12" s="426">
        <v>-1253.242</v>
      </c>
      <c r="L12" s="427">
        <v>-1399.624</v>
      </c>
      <c r="M12" s="431">
        <f>-$M38*$M$10</f>
        <v>-1427.2483777861294</v>
      </c>
      <c r="N12" s="426">
        <f>-$N38*$N$10</f>
        <v>-1482.3520099240868</v>
      </c>
      <c r="O12" s="426">
        <f>-$O38*$O$10</f>
        <v>-1533.8254586357109</v>
      </c>
      <c r="P12" s="426">
        <f>-$P38*$P$10</f>
        <v>-1581.6687239210537</v>
      </c>
      <c r="Q12" s="432">
        <f>-$Q38*$Q$10</f>
        <v>-1625.8818057800702</v>
      </c>
    </row>
    <row r="13" spans="2:27" ht="15.5">
      <c r="B13" s="644" t="s">
        <v>254</v>
      </c>
      <c r="C13" s="645"/>
      <c r="D13" s="646"/>
      <c r="F13" s="127" t="s">
        <v>349</v>
      </c>
      <c r="G13" s="425">
        <v>58.03</v>
      </c>
      <c r="H13" s="426">
        <v>59.813000000000002</v>
      </c>
      <c r="I13" s="426">
        <v>71.965000000000003</v>
      </c>
      <c r="J13" s="426">
        <v>101.559</v>
      </c>
      <c r="K13" s="426">
        <v>121.078</v>
      </c>
      <c r="L13" s="427">
        <v>80.602000000000004</v>
      </c>
      <c r="M13" s="431">
        <f>$M39*$M$10</f>
        <v>117.2599258848054</v>
      </c>
      <c r="N13" s="426">
        <f>$N39*$N$10</f>
        <v>128.76277049026498</v>
      </c>
      <c r="O13" s="426">
        <f>$O39*$O$10</f>
        <v>140.76695797816782</v>
      </c>
      <c r="P13" s="426">
        <f>$P39*$P$10</f>
        <v>153.27248834851494</v>
      </c>
      <c r="Q13" s="432">
        <f>$Q39*$Q$10</f>
        <v>166.27936160130326</v>
      </c>
    </row>
    <row r="14" spans="2:27" ht="16" thickBot="1">
      <c r="B14" s="644" t="s">
        <v>350</v>
      </c>
      <c r="C14" s="645"/>
      <c r="D14" s="646"/>
      <c r="F14" s="93" t="s">
        <v>351</v>
      </c>
      <c r="G14" s="136">
        <f t="shared" ref="G14:K14" si="3">SUM(G11:G13)</f>
        <v>-1945.4979999999989</v>
      </c>
      <c r="H14" s="158">
        <f t="shared" si="3"/>
        <v>-1977.7019999999989</v>
      </c>
      <c r="I14" s="158">
        <f t="shared" si="3"/>
        <v>-2279.7090000000007</v>
      </c>
      <c r="J14" s="158">
        <f t="shared" si="3"/>
        <v>-2575.3900000000003</v>
      </c>
      <c r="K14" s="158">
        <f t="shared" si="3"/>
        <v>-2646.5449999999996</v>
      </c>
      <c r="L14" s="159">
        <f>SUM(L11:L13)</f>
        <v>-2666.6990000000033</v>
      </c>
      <c r="M14" s="162">
        <f t="shared" ref="M14:Q14" si="4">SUM(M11:M13)</f>
        <v>-2925.9835887314534</v>
      </c>
      <c r="N14" s="158">
        <f t="shared" si="4"/>
        <v>-3067.8330935758195</v>
      </c>
      <c r="O14" s="158">
        <f t="shared" si="4"/>
        <v>-3205.5510721114101</v>
      </c>
      <c r="P14" s="158">
        <f t="shared" si="4"/>
        <v>-3339.1375243382868</v>
      </c>
      <c r="Q14" s="137">
        <f t="shared" si="4"/>
        <v>-3468.5924502563712</v>
      </c>
    </row>
    <row r="15" spans="2:27" ht="15.5">
      <c r="B15" s="644" t="s">
        <v>255</v>
      </c>
      <c r="C15" s="645"/>
      <c r="D15" s="646"/>
      <c r="F15" s="127"/>
      <c r="G15" s="51"/>
      <c r="H15" s="61"/>
      <c r="I15" s="61"/>
      <c r="J15" s="61"/>
      <c r="K15" s="61"/>
      <c r="L15" s="156"/>
      <c r="M15" s="163"/>
      <c r="N15" s="164"/>
      <c r="O15" s="164"/>
      <c r="P15" s="164"/>
      <c r="Q15" s="165"/>
    </row>
    <row r="16" spans="2:27" ht="16" thickBot="1">
      <c r="B16" s="644" t="s">
        <v>352</v>
      </c>
      <c r="C16" s="645"/>
      <c r="D16" s="646"/>
      <c r="F16" s="93" t="s">
        <v>169</v>
      </c>
      <c r="G16" s="136">
        <f t="shared" ref="G16:K16" si="5">G10+G14</f>
        <v>391.67500000000086</v>
      </c>
      <c r="H16" s="158">
        <f t="shared" si="5"/>
        <v>430.84800000000132</v>
      </c>
      <c r="I16" s="158">
        <f t="shared" si="5"/>
        <v>510.87099999999919</v>
      </c>
      <c r="J16" s="158">
        <f t="shared" si="5"/>
        <v>694.77999999999975</v>
      </c>
      <c r="K16" s="158">
        <f t="shared" si="5"/>
        <v>713.78800000000047</v>
      </c>
      <c r="L16" s="159">
        <f t="shared" ref="L16" si="6">L10+L14</f>
        <v>571.77099999999655</v>
      </c>
      <c r="M16" s="162">
        <f t="shared" ref="M16:Q16" si="7">M10+M14</f>
        <v>759.03814460189597</v>
      </c>
      <c r="N16" s="158">
        <f t="shared" si="7"/>
        <v>841.2293254718079</v>
      </c>
      <c r="O16" s="158">
        <f t="shared" si="7"/>
        <v>927.55203265049522</v>
      </c>
      <c r="P16" s="158">
        <f t="shared" si="7"/>
        <v>1018.0062661379247</v>
      </c>
      <c r="Q16" s="137">
        <f t="shared" si="7"/>
        <v>1112.5920259340892</v>
      </c>
    </row>
    <row r="17" spans="2:20" ht="16" thickBot="1">
      <c r="B17" s="638" t="s">
        <v>353</v>
      </c>
      <c r="C17" s="639"/>
      <c r="D17" s="640"/>
      <c r="F17" s="127"/>
      <c r="G17" s="51"/>
      <c r="H17" s="61"/>
      <c r="I17" s="61"/>
      <c r="J17" s="61"/>
      <c r="K17" s="61"/>
      <c r="L17" s="156"/>
      <c r="M17" s="163"/>
      <c r="N17" s="164"/>
      <c r="O17" s="164"/>
      <c r="P17" s="164"/>
      <c r="Q17" s="165"/>
    </row>
    <row r="18" spans="2:20" ht="15.5">
      <c r="F18" s="127" t="s">
        <v>354</v>
      </c>
      <c r="G18" s="51">
        <f>Segments!B57</f>
        <v>165.863</v>
      </c>
      <c r="H18" s="61">
        <f>Segments!C57</f>
        <v>175.941</v>
      </c>
      <c r="I18" s="61">
        <f>Segments!D57</f>
        <v>190.49299999999999</v>
      </c>
      <c r="J18" s="61">
        <f>Segments!E57</f>
        <v>206.578</v>
      </c>
      <c r="K18" s="61">
        <f>Segments!F57</f>
        <v>244.03800000000001</v>
      </c>
      <c r="L18" s="61">
        <f>Segments!G57</f>
        <v>267.94200000000001</v>
      </c>
      <c r="M18" s="166">
        <f>M41*M10</f>
        <v>291.4474292231809</v>
      </c>
      <c r="N18" s="400">
        <f>N41*N10</f>
        <v>318.4459639519763</v>
      </c>
      <c r="O18" s="400">
        <f>O41*O10</f>
        <v>359.35408587304079</v>
      </c>
      <c r="P18" s="400">
        <f>P41*P10</f>
        <v>400.18793560041308</v>
      </c>
      <c r="Q18" s="224">
        <f>Q41*Q10</f>
        <v>428.62628432191855</v>
      </c>
    </row>
    <row r="19" spans="2:20" ht="16" thickBot="1">
      <c r="F19" s="93" t="s">
        <v>171</v>
      </c>
      <c r="G19" s="433">
        <f t="shared" ref="G19:K19" si="8">G16-G18</f>
        <v>225.81200000000086</v>
      </c>
      <c r="H19" s="434">
        <f t="shared" si="8"/>
        <v>254.90700000000132</v>
      </c>
      <c r="I19" s="434">
        <f t="shared" si="8"/>
        <v>320.37799999999919</v>
      </c>
      <c r="J19" s="434">
        <f t="shared" si="8"/>
        <v>488.20199999999977</v>
      </c>
      <c r="K19" s="434">
        <f t="shared" si="8"/>
        <v>469.75000000000045</v>
      </c>
      <c r="L19" s="435">
        <f t="shared" ref="L19" si="9">L16-L18</f>
        <v>303.82899999999654</v>
      </c>
      <c r="M19" s="436">
        <f>M16-M18</f>
        <v>467.59071537871506</v>
      </c>
      <c r="N19" s="437">
        <f>N16-N18</f>
        <v>522.7833615198316</v>
      </c>
      <c r="O19" s="437">
        <f>O16-O18</f>
        <v>568.19794677745449</v>
      </c>
      <c r="P19" s="437">
        <f>P16-P18</f>
        <v>617.81833053751166</v>
      </c>
      <c r="Q19" s="438">
        <f>Q16-Q18</f>
        <v>683.96574161217063</v>
      </c>
    </row>
    <row r="20" spans="2:20" ht="15.5">
      <c r="F20" s="127" t="s">
        <v>355</v>
      </c>
      <c r="G20" s="439">
        <f t="shared" ref="G20:J20" si="10">G19/G10</f>
        <v>9.6617580298934178E-2</v>
      </c>
      <c r="H20" s="440">
        <f t="shared" si="10"/>
        <v>0.10583421560690096</v>
      </c>
      <c r="I20" s="440">
        <f t="shared" si="10"/>
        <v>0.11480695769338245</v>
      </c>
      <c r="J20" s="440">
        <f t="shared" si="10"/>
        <v>0.1492894864792961</v>
      </c>
      <c r="K20" s="440">
        <f>K19/K10</f>
        <v>0.13979269316463591</v>
      </c>
      <c r="L20" s="440">
        <f t="shared" ref="L20:Q20" si="11">L19/L10</f>
        <v>9.3818685984429856E-2</v>
      </c>
      <c r="M20" s="441">
        <f t="shared" si="11"/>
        <v>0.12688954074519063</v>
      </c>
      <c r="N20" s="442">
        <f t="shared" si="11"/>
        <v>0.13373625321828408</v>
      </c>
      <c r="O20" s="442">
        <f t="shared" si="11"/>
        <v>0.13747490260352133</v>
      </c>
      <c r="P20" s="442">
        <f t="shared" si="11"/>
        <v>0.14179434056960227</v>
      </c>
      <c r="Q20" s="443">
        <f t="shared" si="11"/>
        <v>0.1492988866016875</v>
      </c>
    </row>
    <row r="21" spans="2:20" ht="15.5">
      <c r="F21" s="127" t="s">
        <v>356</v>
      </c>
      <c r="G21" s="425">
        <v>4.0629999999999997</v>
      </c>
      <c r="H21" s="426">
        <v>4.8289999999999997</v>
      </c>
      <c r="I21" s="426">
        <v>4.3540000000000001</v>
      </c>
      <c r="J21" s="426">
        <v>5.8049999999999997</v>
      </c>
      <c r="K21" s="426">
        <v>4.8079999999999998</v>
      </c>
      <c r="L21" s="427">
        <v>4.0439999999999996</v>
      </c>
      <c r="M21" s="431">
        <f>(-$M43)*$M$32</f>
        <v>1.9644792354116403</v>
      </c>
      <c r="N21" s="426">
        <f>(-$N43)*$N$32</f>
        <v>7.9313486249969767</v>
      </c>
      <c r="O21" s="426">
        <f>(-$O43)*$O$32</f>
        <v>15.417601998371719</v>
      </c>
      <c r="P21" s="426">
        <f>(-$P43)*$P$32</f>
        <v>24.42323935553754</v>
      </c>
      <c r="Q21" s="432">
        <f>(-$Q43)*$Q$32</f>
        <v>34.948260696492852</v>
      </c>
    </row>
    <row r="22" spans="2:20" ht="15.5">
      <c r="F22" s="129" t="s">
        <v>357</v>
      </c>
      <c r="G22" s="425">
        <v>-16.579999999999998</v>
      </c>
      <c r="H22" s="426">
        <v>-19.962</v>
      </c>
      <c r="I22" s="426">
        <v>-34.813000000000002</v>
      </c>
      <c r="J22" s="426">
        <v>-47.847000000000001</v>
      </c>
      <c r="K22" s="426">
        <v>-56.427</v>
      </c>
      <c r="L22" s="427">
        <v>-77.801000000000002</v>
      </c>
      <c r="M22" s="431">
        <f>(-$M44)*$M$32</f>
        <v>-79.054123146460356</v>
      </c>
      <c r="N22" s="426">
        <f>(-$N44)*$N$32</f>
        <v>-84.744078080967469</v>
      </c>
      <c r="O22" s="426">
        <f>(-$O44)*$O$32</f>
        <v>-88.67393061335828</v>
      </c>
      <c r="P22" s="426">
        <f>(-$P44)*$P$32</f>
        <v>-90.843680743651134</v>
      </c>
      <c r="Q22" s="432">
        <f>(-$Q44)*$Q$32</f>
        <v>-91.253328471834266</v>
      </c>
    </row>
    <row r="23" spans="2:20" ht="15.5">
      <c r="F23" s="127" t="s">
        <v>358</v>
      </c>
      <c r="G23" s="425">
        <v>-4.8230000000000004</v>
      </c>
      <c r="H23" s="426">
        <v>8.3140000000000001</v>
      </c>
      <c r="I23" s="426">
        <v>14.405000000000001</v>
      </c>
      <c r="J23" s="426">
        <v>-15.076000000000001</v>
      </c>
      <c r="K23" s="426">
        <v>-22.207000000000001</v>
      </c>
      <c r="L23" s="427">
        <v>-35.015999999999998</v>
      </c>
      <c r="M23" s="431">
        <f>(-$M45)*$M$32</f>
        <v>-42.940940462027143</v>
      </c>
      <c r="N23" s="426">
        <f>(-$N45)*$N$32</f>
        <v>-61.328526837179794</v>
      </c>
      <c r="O23" s="426">
        <f>(-$O45)*$O$32</f>
        <v>-82.864596668196924</v>
      </c>
      <c r="P23" s="426">
        <f>(-$P45)*$P$32</f>
        <v>-107.54914995509129</v>
      </c>
      <c r="Q23" s="432">
        <f>(-$Q45)*$Q$32</f>
        <v>-135.38218669785812</v>
      </c>
    </row>
    <row r="24" spans="2:20" ht="16" thickBot="1">
      <c r="F24" s="93" t="s">
        <v>359</v>
      </c>
      <c r="G24" s="433">
        <f t="shared" ref="G24:K24" si="12">SUM(G21:G23)</f>
        <v>-17.34</v>
      </c>
      <c r="H24" s="434">
        <f t="shared" si="12"/>
        <v>-6.8189999999999991</v>
      </c>
      <c r="I24" s="434">
        <f t="shared" si="12"/>
        <v>-16.054000000000002</v>
      </c>
      <c r="J24" s="434">
        <f t="shared" si="12"/>
        <v>-57.118000000000002</v>
      </c>
      <c r="K24" s="434">
        <f t="shared" si="12"/>
        <v>-73.825999999999993</v>
      </c>
      <c r="L24" s="435">
        <f t="shared" ref="L24" si="13">SUM(L21:L23)</f>
        <v>-108.773</v>
      </c>
      <c r="M24" s="444">
        <f>SUM(M21:M23)</f>
        <v>-120.03058437307585</v>
      </c>
      <c r="N24" s="434">
        <f>SUM(N21:N23)</f>
        <v>-138.14125629315029</v>
      </c>
      <c r="O24" s="434">
        <f>SUM(O21:O23)</f>
        <v>-156.12092528318348</v>
      </c>
      <c r="P24" s="434">
        <f>SUM(P21:P23)</f>
        <v>-173.96959134320491</v>
      </c>
      <c r="Q24" s="445">
        <f>SUM(Q21:Q23)</f>
        <v>-191.68725447319952</v>
      </c>
    </row>
    <row r="25" spans="2:20" ht="15.5">
      <c r="F25" s="127"/>
      <c r="G25" s="51"/>
      <c r="H25" s="61"/>
      <c r="I25" s="61"/>
      <c r="J25" s="61"/>
      <c r="K25" s="61"/>
      <c r="L25" s="156"/>
      <c r="M25" s="163"/>
      <c r="N25" s="164"/>
      <c r="O25" s="164"/>
      <c r="P25" s="164"/>
      <c r="Q25" s="165"/>
    </row>
    <row r="26" spans="2:20" ht="16" thickBot="1">
      <c r="F26" s="93" t="s">
        <v>360</v>
      </c>
      <c r="G26" s="433">
        <f t="shared" ref="G26:K26" si="14">G19+G24</f>
        <v>208.47200000000086</v>
      </c>
      <c r="H26" s="434">
        <f t="shared" si="14"/>
        <v>248.08800000000133</v>
      </c>
      <c r="I26" s="434">
        <f t="shared" si="14"/>
        <v>304.32399999999916</v>
      </c>
      <c r="J26" s="434">
        <f t="shared" si="14"/>
        <v>431.08399999999978</v>
      </c>
      <c r="K26" s="434">
        <f t="shared" si="14"/>
        <v>395.92400000000043</v>
      </c>
      <c r="L26" s="435">
        <f t="shared" ref="L26" si="15">L19+L24</f>
        <v>195.05599999999654</v>
      </c>
      <c r="M26" s="444">
        <f>M19+M24</f>
        <v>347.56013100563922</v>
      </c>
      <c r="N26" s="434">
        <f>N19+N24</f>
        <v>384.64210522668134</v>
      </c>
      <c r="O26" s="434">
        <f>O19+O24</f>
        <v>412.07702149427098</v>
      </c>
      <c r="P26" s="434">
        <f>P19+P24</f>
        <v>443.84873919430675</v>
      </c>
      <c r="Q26" s="445">
        <f>Q19+Q24</f>
        <v>492.27848713897112</v>
      </c>
    </row>
    <row r="27" spans="2:20" ht="15.5">
      <c r="F27" s="127"/>
      <c r="G27" s="51"/>
      <c r="H27" s="61"/>
      <c r="I27" s="61"/>
      <c r="J27" s="61"/>
      <c r="K27" s="61"/>
      <c r="L27" s="156"/>
      <c r="M27" s="163"/>
      <c r="N27" s="164"/>
      <c r="O27" s="164"/>
      <c r="P27" s="164"/>
      <c r="Q27" s="165"/>
    </row>
    <row r="28" spans="2:20" ht="15.5">
      <c r="F28" s="129" t="s">
        <v>361</v>
      </c>
      <c r="G28" s="38">
        <f>'Income Statement'!B53*-1</f>
        <v>-47.735999999999997</v>
      </c>
      <c r="H28" s="130">
        <f>'Income Statement'!C53*-1</f>
        <v>-56.42</v>
      </c>
      <c r="I28" s="130">
        <f>'Income Statement'!D53*-1</f>
        <v>-75.177999999999997</v>
      </c>
      <c r="J28" s="130">
        <f>'Income Statement'!E53*-1</f>
        <v>-103.24</v>
      </c>
      <c r="K28" s="130">
        <f>'Income Statement'!F53*-1</f>
        <v>-96.691999999999993</v>
      </c>
      <c r="L28" s="157">
        <f>'Income Statement'!G53*-1</f>
        <v>-59.131</v>
      </c>
      <c r="M28" s="167">
        <f>-M$47*M$26</f>
        <v>-100.70596187035997</v>
      </c>
      <c r="N28" s="168">
        <f>-N$47*N$26</f>
        <v>-115.99694056494401</v>
      </c>
      <c r="O28" s="168">
        <f>-O$47*O$26</f>
        <v>-129.14122884542536</v>
      </c>
      <c r="P28" s="168">
        <f>-P$47*P$26</f>
        <v>-144.34444834349497</v>
      </c>
      <c r="Q28" s="131">
        <f>-Q$47*Q$26</f>
        <v>-165.9130144362525</v>
      </c>
    </row>
    <row r="29" spans="2:20" ht="15.5">
      <c r="F29" s="129" t="s">
        <v>362</v>
      </c>
      <c r="G29" s="439">
        <f t="shared" ref="G29:K29" si="16">-G28/G26</f>
        <v>0.22898039065198109</v>
      </c>
      <c r="H29" s="440">
        <f t="shared" si="16"/>
        <v>0.22741930282802755</v>
      </c>
      <c r="I29" s="440">
        <f t="shared" si="16"/>
        <v>0.24703276770810126</v>
      </c>
      <c r="J29" s="440">
        <f t="shared" si="16"/>
        <v>0.23948928747065548</v>
      </c>
      <c r="K29" s="440">
        <f t="shared" si="16"/>
        <v>0.24421858740566343</v>
      </c>
      <c r="L29" s="446">
        <f t="shared" ref="L29" si="17">-L28/L26</f>
        <v>0.30314883930769138</v>
      </c>
      <c r="M29" s="440">
        <f>-M28/M26</f>
        <v>0.28975119090608814</v>
      </c>
      <c r="N29" s="440">
        <f>-N28/N26</f>
        <v>0.30157109424248674</v>
      </c>
      <c r="O29" s="440">
        <f>-O28/O26</f>
        <v>0.31339099757888533</v>
      </c>
      <c r="P29" s="440">
        <f>-P28/P26</f>
        <v>0.32521090091528748</v>
      </c>
      <c r="Q29" s="447">
        <f>-Q28/Q26</f>
        <v>0.33703080425168963</v>
      </c>
    </row>
    <row r="30" spans="2:20" ht="16" thickBot="1">
      <c r="F30" s="93" t="s">
        <v>363</v>
      </c>
      <c r="G30" s="433">
        <f t="shared" ref="G30:K30" si="18">G26+G28</f>
        <v>160.73600000000087</v>
      </c>
      <c r="H30" s="434">
        <f t="shared" si="18"/>
        <v>191.66800000000131</v>
      </c>
      <c r="I30" s="434">
        <f t="shared" si="18"/>
        <v>229.14599999999916</v>
      </c>
      <c r="J30" s="434">
        <f t="shared" si="18"/>
        <v>327.84399999999977</v>
      </c>
      <c r="K30" s="434">
        <f t="shared" si="18"/>
        <v>299.23200000000043</v>
      </c>
      <c r="L30" s="435">
        <f t="shared" ref="L30" si="19">L26+L28</f>
        <v>135.92499999999654</v>
      </c>
      <c r="M30" s="444">
        <f>M26+M28</f>
        <v>246.85416913527925</v>
      </c>
      <c r="N30" s="434">
        <f>N26+N28</f>
        <v>268.64516466173734</v>
      </c>
      <c r="O30" s="434">
        <f>O26+O28</f>
        <v>282.93579264884562</v>
      </c>
      <c r="P30" s="434">
        <f>P26+P28</f>
        <v>299.5042908508118</v>
      </c>
      <c r="Q30" s="445">
        <f>Q26+Q28</f>
        <v>326.36547270271865</v>
      </c>
    </row>
    <row r="31" spans="2:20" ht="16" thickBot="1">
      <c r="S31" s="481" t="s">
        <v>341</v>
      </c>
      <c r="T31" s="482" t="s">
        <v>342</v>
      </c>
    </row>
    <row r="32" spans="2:20" ht="16" thickBot="1">
      <c r="F32" s="135" t="s">
        <v>364</v>
      </c>
      <c r="G32" s="448">
        <f>'Balance sheet'!B81</f>
        <v>410.16899999999998</v>
      </c>
      <c r="H32" s="448">
        <f>'Balance sheet'!C81</f>
        <v>425.18</v>
      </c>
      <c r="I32" s="448">
        <f>'Balance sheet'!D81</f>
        <v>1007.972</v>
      </c>
      <c r="J32" s="448">
        <f>'Balance sheet'!E81</f>
        <v>1145.606</v>
      </c>
      <c r="K32" s="448">
        <f>'Balance sheet'!F81</f>
        <v>1715.146</v>
      </c>
      <c r="L32" s="449">
        <f>'Balance sheet'!G81</f>
        <v>2424.3310000000001</v>
      </c>
      <c r="M32" s="450">
        <f>_xlfn.FORECAST.LINEAR(M3,$G32:L32,$G3:L3)</f>
        <v>2595.9015333332354</v>
      </c>
      <c r="N32" s="448">
        <f>_xlfn.FORECAST.LINEAR(N3,$G32:M32,$G3:M3)</f>
        <v>2998.1398761904566</v>
      </c>
      <c r="O32" s="448">
        <f>_xlfn.FORECAST.LINEAR(O3,$G32:N32,$G3:N3)</f>
        <v>3400.3782190474449</v>
      </c>
      <c r="P32" s="448">
        <f>_xlfn.FORECAST.LINEAR(P3,$G32:O32,$G3:O3)</f>
        <v>3802.616561904666</v>
      </c>
      <c r="Q32" s="451">
        <f>_xlfn.FORECAST.LINEAR(Q3,$G32:P32,$G3:P3)</f>
        <v>4204.8549047617707</v>
      </c>
      <c r="S32" s="489" t="s">
        <v>344</v>
      </c>
      <c r="T32" s="490" t="s">
        <v>345</v>
      </c>
    </row>
    <row r="33" spans="6:23" ht="16" thickBot="1">
      <c r="F33" s="135" t="s">
        <v>262</v>
      </c>
      <c r="G33" s="448">
        <f>'Income Statement'!B18</f>
        <v>9697.6849999999995</v>
      </c>
      <c r="H33" s="448">
        <f>'Income Statement'!C18</f>
        <v>10443.540999999999</v>
      </c>
      <c r="I33" s="448">
        <f>'Income Statement'!D18</f>
        <v>11947.263999999999</v>
      </c>
      <c r="J33" s="448">
        <f>'Income Statement'!E18</f>
        <v>13716.736999999999</v>
      </c>
      <c r="K33" s="448">
        <f>'Income Statement'!F18</f>
        <v>17485.080000000002</v>
      </c>
      <c r="L33" s="448">
        <f>'Income Statement'!G18</f>
        <v>20710.116000000002</v>
      </c>
      <c r="M33" s="450">
        <f>_xlfn.FORECAST.LINEAR(M3,G33:L33,G3:L3)</f>
        <v>21795.695000000298</v>
      </c>
      <c r="N33" s="450">
        <f t="shared" ref="N33:Q33" si="20">_xlfn.FORECAST.LINEAR(N3,H33:M33,H3:M3)</f>
        <v>24698.172400000505</v>
      </c>
      <c r="O33" s="450">
        <f t="shared" si="20"/>
        <v>27513.822600001469</v>
      </c>
      <c r="P33" s="450">
        <f t="shared" si="20"/>
        <v>30157.632253334858</v>
      </c>
      <c r="Q33" s="450">
        <f t="shared" si="20"/>
        <v>32394.388888890855</v>
      </c>
      <c r="S33" s="216" t="s">
        <v>344</v>
      </c>
      <c r="T33" s="484" t="s">
        <v>345</v>
      </c>
    </row>
    <row r="34" spans="6:23" ht="15" thickBot="1">
      <c r="S34" s="210"/>
      <c r="T34" s="488"/>
    </row>
    <row r="35" spans="6:23" ht="19.5">
      <c r="F35" s="647" t="s">
        <v>365</v>
      </c>
      <c r="G35" s="648"/>
      <c r="H35" s="648"/>
      <c r="I35" s="648"/>
      <c r="J35" s="648"/>
      <c r="K35" s="648"/>
      <c r="L35" s="649"/>
      <c r="M35" s="648"/>
      <c r="N35" s="648"/>
      <c r="O35" s="648"/>
      <c r="P35" s="648"/>
      <c r="Q35" s="650"/>
      <c r="S35" s="210"/>
      <c r="T35" s="488"/>
      <c r="U35" s="241"/>
      <c r="V35" s="241"/>
      <c r="W35" s="241"/>
    </row>
    <row r="36" spans="6:23" ht="19.5">
      <c r="F36" s="480" t="s">
        <v>340</v>
      </c>
      <c r="G36" s="139">
        <v>2015</v>
      </c>
      <c r="H36" s="139">
        <v>2016</v>
      </c>
      <c r="I36" s="139">
        <v>2017</v>
      </c>
      <c r="J36" s="139">
        <v>2018</v>
      </c>
      <c r="K36" s="389">
        <v>2019</v>
      </c>
      <c r="L36" s="424">
        <v>2020</v>
      </c>
      <c r="M36" s="423">
        <v>2021</v>
      </c>
      <c r="N36" s="139">
        <v>2022</v>
      </c>
      <c r="O36" s="139">
        <v>2023</v>
      </c>
      <c r="P36" s="139">
        <v>2024</v>
      </c>
      <c r="Q36" s="309">
        <v>2025</v>
      </c>
      <c r="S36" s="216"/>
      <c r="T36" s="483"/>
      <c r="U36" s="241"/>
      <c r="V36" s="241"/>
      <c r="W36" s="241"/>
    </row>
    <row r="37" spans="6:23" ht="15.5">
      <c r="F37" s="458" t="s">
        <v>366</v>
      </c>
      <c r="G37" s="459">
        <f t="shared" ref="G37:L37" si="21">(-G11)/G10</f>
        <v>0.4089645909823531</v>
      </c>
      <c r="H37" s="460">
        <f t="shared" si="21"/>
        <v>0.41744867243777334</v>
      </c>
      <c r="I37" s="460">
        <f t="shared" si="21"/>
        <v>0.41845924503149906</v>
      </c>
      <c r="J37" s="460">
        <f t="shared" si="21"/>
        <v>0.43077791062849957</v>
      </c>
      <c r="K37" s="460">
        <f t="shared" si="21"/>
        <v>0.45066396693422922</v>
      </c>
      <c r="L37" s="461">
        <f t="shared" si="21"/>
        <v>0.41614620484364634</v>
      </c>
      <c r="M37" s="462">
        <f>_xlfn.FORECAST.LINEAR(M36,G37:L37,G36:L36)</f>
        <v>0.43853069364894992</v>
      </c>
      <c r="N37" s="463">
        <f>_xlfn.FORECAST.LINEAR(N36,G37:M37,G36:M36)</f>
        <v>0.4427556256030325</v>
      </c>
      <c r="O37" s="463">
        <f>_xlfn.FORECAST.LINEAR(O36,G37:N37,G36:N36)</f>
        <v>0.4469805575571133</v>
      </c>
      <c r="P37" s="463">
        <f>_xlfn.FORECAST.LINEAR(P36,G37:O37,G36:O36)</f>
        <v>0.4512054895111941</v>
      </c>
      <c r="Q37" s="464">
        <f>_xlfn.FORECAST.LINEAR(Q36,G37:P37,G36:P36)</f>
        <v>0.4554304214652749</v>
      </c>
      <c r="S37" s="216" t="s">
        <v>344</v>
      </c>
      <c r="T37" s="484" t="s">
        <v>367</v>
      </c>
      <c r="U37" s="241"/>
      <c r="V37" s="241"/>
      <c r="W37" s="241"/>
    </row>
    <row r="38" spans="6:23" ht="15.5">
      <c r="F38" s="458" t="s">
        <v>368</v>
      </c>
      <c r="G38" s="465">
        <f>-(G12)/G10</f>
        <v>0.44827960959672219</v>
      </c>
      <c r="H38" s="466">
        <f>(-H12)/H10</f>
        <v>0.42850221087376217</v>
      </c>
      <c r="I38" s="466">
        <f>(-I12)/I10</f>
        <v>0.42425947294110905</v>
      </c>
      <c r="J38" s="466">
        <f>(-J12)/J10</f>
        <v>0.38781837029879179</v>
      </c>
      <c r="K38" s="466">
        <f>(-K12)/K10</f>
        <v>0.37295172829597539</v>
      </c>
      <c r="L38" s="467">
        <f>(-L12)/L10</f>
        <v>0.43218680426250672</v>
      </c>
      <c r="M38" s="468">
        <f>_xlfn.FORECAST.LINEAR(M36,G38:L38,G36:L36)</f>
        <v>0.38731070834013437</v>
      </c>
      <c r="N38" s="241">
        <f>_xlfn.FORECAST.LINEAR(N$36,G38:M38,G$36:M$36)</f>
        <v>0.37920909185308815</v>
      </c>
      <c r="O38" s="241">
        <f>_xlfn.FORECAST.LINEAR(O$36,G38:N38,G$36:N$36)</f>
        <v>0.37110747536603483</v>
      </c>
      <c r="P38" s="241">
        <f>_xlfn.FORECAST.LINEAR(P$36,G38:O38,G$36:O$36)</f>
        <v>0.36300585887898507</v>
      </c>
      <c r="Q38" s="242">
        <f>_xlfn.FORECAST.LINEAR(Q$36,G38:P38,G$36:P$36)</f>
        <v>0.3549042423919353</v>
      </c>
      <c r="S38" s="216" t="s">
        <v>344</v>
      </c>
      <c r="T38" s="484" t="s">
        <v>369</v>
      </c>
      <c r="U38" s="241"/>
      <c r="V38" s="241"/>
      <c r="W38" s="241"/>
    </row>
    <row r="39" spans="6:23" ht="15.5">
      <c r="F39" s="458" t="s">
        <v>370</v>
      </c>
      <c r="G39" s="465">
        <f t="shared" ref="G39:L39" si="22">G13/G10</f>
        <v>2.4829141873536964E-2</v>
      </c>
      <c r="H39" s="466">
        <f t="shared" si="22"/>
        <v>2.4833613584936996E-2</v>
      </c>
      <c r="I39" s="466">
        <f t="shared" si="22"/>
        <v>2.5788545750345809E-2</v>
      </c>
      <c r="J39" s="466">
        <f t="shared" si="22"/>
        <v>3.1056183623481348E-2</v>
      </c>
      <c r="K39" s="466">
        <f t="shared" si="22"/>
        <v>3.6031548063837723E-2</v>
      </c>
      <c r="L39" s="467">
        <f t="shared" si="22"/>
        <v>2.4888913591912233E-2</v>
      </c>
      <c r="M39" s="468">
        <f>_xlfn.FORECAST.LINEAR(M$36,G39:L39,G$36:L$36)</f>
        <v>3.1820687738179476E-2</v>
      </c>
      <c r="N39" s="241">
        <f>_xlfn.FORECAST.LINEAR(N$36,G39:M39,G$36:M$36)</f>
        <v>3.2939553449657044E-2</v>
      </c>
      <c r="O39" s="241">
        <f>_xlfn.FORECAST.LINEAR(O$36,G39:N39,G$36:N$36)</f>
        <v>3.4058419161134612E-2</v>
      </c>
      <c r="P39" s="241">
        <f>_xlfn.FORECAST.LINEAR(P$36,G39:O39,G$36:O$36)</f>
        <v>3.517728487261218E-2</v>
      </c>
      <c r="Q39" s="242">
        <f>_xlfn.FORECAST.LINEAR(Q$36,G39:P39,G$36:P$36)</f>
        <v>3.6296150584089748E-2</v>
      </c>
      <c r="S39" s="216" t="s">
        <v>344</v>
      </c>
      <c r="T39" s="484" t="s">
        <v>367</v>
      </c>
      <c r="U39" s="241"/>
      <c r="V39" s="241"/>
      <c r="W39" s="241"/>
    </row>
    <row r="40" spans="6:23" ht="15.5">
      <c r="F40" s="138"/>
      <c r="G40" s="452"/>
      <c r="H40" s="453"/>
      <c r="I40" s="453"/>
      <c r="J40" s="453"/>
      <c r="K40" s="453"/>
      <c r="L40" s="454"/>
      <c r="M40" s="455"/>
      <c r="N40" s="453"/>
      <c r="O40" s="453"/>
      <c r="P40" s="453"/>
      <c r="Q40" s="456"/>
      <c r="S40" s="216"/>
      <c r="T40" s="484"/>
      <c r="U40" s="241"/>
      <c r="V40" s="241"/>
      <c r="W40" s="241"/>
    </row>
    <row r="41" spans="6:23" ht="15.5">
      <c r="F41" s="458" t="s">
        <v>371</v>
      </c>
      <c r="G41" s="469">
        <f t="shared" ref="G41:L41" si="23">G18/G10</f>
        <v>7.0967360995527515E-2</v>
      </c>
      <c r="H41" s="470">
        <f t="shared" si="23"/>
        <v>7.3048514666500586E-2</v>
      </c>
      <c r="I41" s="470">
        <f t="shared" si="23"/>
        <v>6.8262870084355221E-2</v>
      </c>
      <c r="J41" s="470">
        <f t="shared" si="23"/>
        <v>6.3170416216893926E-2</v>
      </c>
      <c r="K41" s="470">
        <f t="shared" si="23"/>
        <v>7.2623159668997087E-2</v>
      </c>
      <c r="L41" s="471">
        <f t="shared" si="23"/>
        <v>8.273721850132934E-2</v>
      </c>
      <c r="M41" s="472">
        <f>_xlfn.FORECAST.LINEAR(M36,H41:L41,H36:L36)</f>
        <v>7.9089745003904532E-2</v>
      </c>
      <c r="N41" s="470">
        <f>_xlfn.FORECAST.LINEAR(N36,H41:M41,H36:M36)</f>
        <v>8.1463514729334996E-2</v>
      </c>
      <c r="O41" s="470">
        <f>_xlfn.FORECAST.LINEAR(O36,I41:N41,I36:N36)</f>
        <v>8.6945347542628504E-2</v>
      </c>
      <c r="P41" s="470">
        <f>_xlfn.FORECAST.LINEAR(P36,J41:O41,J36:O36)</f>
        <v>9.184639177507492E-2</v>
      </c>
      <c r="Q41" s="473">
        <f>_xlfn.FORECAST.LINEAR(Q36,K41:P41,K36:P36)</f>
        <v>9.3562327941516976E-2</v>
      </c>
      <c r="S41" s="216" t="s">
        <v>344</v>
      </c>
      <c r="T41" s="484" t="s">
        <v>367</v>
      </c>
      <c r="U41" s="241"/>
      <c r="V41" s="241"/>
      <c r="W41" s="241"/>
    </row>
    <row r="42" spans="6:23" ht="15.5">
      <c r="F42" s="138"/>
      <c r="G42" s="452"/>
      <c r="H42" s="453"/>
      <c r="I42" s="453"/>
      <c r="J42" s="453"/>
      <c r="K42" s="453"/>
      <c r="L42" s="454"/>
      <c r="M42" s="455"/>
      <c r="N42" s="453"/>
      <c r="O42" s="453"/>
      <c r="P42" s="453"/>
      <c r="Q42" s="456"/>
      <c r="S42" s="216"/>
      <c r="T42" s="484"/>
      <c r="U42" s="241"/>
      <c r="V42" s="241"/>
      <c r="W42" s="241"/>
    </row>
    <row r="43" spans="6:23" ht="15.5">
      <c r="F43" s="458" t="s">
        <v>372</v>
      </c>
      <c r="G43" s="459">
        <f t="shared" ref="G43:L43" si="24">G21/G32</f>
        <v>9.9056730274594135E-3</v>
      </c>
      <c r="H43" s="460">
        <f t="shared" si="24"/>
        <v>1.1357542687802813E-2</v>
      </c>
      <c r="I43" s="460">
        <f t="shared" si="24"/>
        <v>4.3195644323453432E-3</v>
      </c>
      <c r="J43" s="460">
        <f t="shared" si="24"/>
        <v>5.0671871481120035E-3</v>
      </c>
      <c r="K43" s="460">
        <f t="shared" si="24"/>
        <v>2.8032598974081506E-3</v>
      </c>
      <c r="L43" s="461">
        <f t="shared" si="24"/>
        <v>1.6680890521962551E-3</v>
      </c>
      <c r="M43" s="460">
        <f>_xlfn.FORECAST.LINEAR(M$36,G43:L43,G$36:L$36)</f>
        <v>-7.5676184561945803E-4</v>
      </c>
      <c r="N43" s="463">
        <f>_xlfn.FORECAST.LINEAR(N$36,G43:M43,G$36:M$36)</f>
        <v>-2.6454231465260492E-3</v>
      </c>
      <c r="O43" s="463">
        <f>_xlfn.FORECAST.LINEAR(O$36,G43:N43,G$36:N$36)</f>
        <v>-4.5340844474326403E-3</v>
      </c>
      <c r="P43" s="463">
        <f>_xlfn.FORECAST.LINEAR(P$36,G43:O43,G$36:O$36)</f>
        <v>-6.4227457483392314E-3</v>
      </c>
      <c r="Q43" s="464">
        <f>_xlfn.FORECAST.LINEAR(Q$36,G43:P43,G$36:P$36)</f>
        <v>-8.3114070492458225E-3</v>
      </c>
      <c r="S43" s="216" t="s">
        <v>344</v>
      </c>
      <c r="T43" s="484" t="s">
        <v>369</v>
      </c>
      <c r="U43" s="241"/>
      <c r="V43" s="241"/>
      <c r="W43" s="241"/>
    </row>
    <row r="44" spans="6:23" ht="15.5">
      <c r="F44" s="458" t="s">
        <v>373</v>
      </c>
      <c r="G44" s="465">
        <f>(-$G22)/$G32</f>
        <v>4.0422362489607941E-2</v>
      </c>
      <c r="H44" s="466">
        <f>(-H$22)/H$32</f>
        <v>4.6949527259043229E-2</v>
      </c>
      <c r="I44" s="466">
        <f>(-I$22)/I$32</f>
        <v>3.4537665728809931E-2</v>
      </c>
      <c r="J44" s="466">
        <f>(-J$22)/J$32</f>
        <v>4.1765668126738167E-2</v>
      </c>
      <c r="K44" s="466">
        <f>(-K$22)/K$32</f>
        <v>3.2899240064694205E-2</v>
      </c>
      <c r="L44" s="467">
        <f>(-L$22)/L$32</f>
        <v>3.2091739948051645E-2</v>
      </c>
      <c r="M44" s="466">
        <f>_xlfn.FORECAST.LINEAR(M$36,G44:L44,G$36:L$36)</f>
        <v>3.0453436746867624E-2</v>
      </c>
      <c r="N44" s="241">
        <f>_xlfn.FORECAST.LINEAR(N$36,G44:M44,G$36:M$36)</f>
        <v>2.8265551835642277E-2</v>
      </c>
      <c r="O44" s="241">
        <f>_xlfn.FORECAST.LINEAR(O$36,G44:N44,G$36:N$36)</f>
        <v>2.6077666924416043E-2</v>
      </c>
      <c r="P44" s="241">
        <f>_xlfn.FORECAST.LINEAR(P$36,G44:O44,G$36:O$36)</f>
        <v>2.3889782013190697E-2</v>
      </c>
      <c r="Q44" s="242">
        <f>_xlfn.FORECAST.LINEAR(Q$36,G44:P44,G$36:P$36)</f>
        <v>2.1701897101965351E-2</v>
      </c>
      <c r="S44" s="216" t="s">
        <v>344</v>
      </c>
      <c r="T44" s="484" t="s">
        <v>369</v>
      </c>
      <c r="U44" s="241"/>
      <c r="V44" s="241"/>
      <c r="W44" s="241"/>
    </row>
    <row r="45" spans="6:23" ht="15.5">
      <c r="F45" s="458" t="s">
        <v>374</v>
      </c>
      <c r="G45" s="465">
        <f>(-G$23)/G$32</f>
        <v>1.1758567809853989E-2</v>
      </c>
      <c r="H45" s="466">
        <f>(-H$23)/H$32</f>
        <v>-1.9554071216896372E-2</v>
      </c>
      <c r="I45" s="466">
        <f>(-I$23)/I$32</f>
        <v>-1.4291071577385088E-2</v>
      </c>
      <c r="J45" s="466">
        <v>1.1758567809853989E-2</v>
      </c>
      <c r="K45" s="466">
        <f>(-K$23)/K$32</f>
        <v>1.29475858031911E-2</v>
      </c>
      <c r="L45" s="467">
        <f>(-L$23)/L$32</f>
        <v>1.4443572267978258E-2</v>
      </c>
      <c r="M45" s="466">
        <f>_xlfn.FORECAST.LINEAR(M$36,G45:L45,G$36:L$36)</f>
        <v>1.6541821756578479E-2</v>
      </c>
      <c r="N45" s="241">
        <f>_xlfn.FORECAST.LINEAR(N$36,G45:M45,G$36:M$36)</f>
        <v>2.0455525549096798E-2</v>
      </c>
      <c r="O45" s="241">
        <f>_xlfn.FORECAST.LINEAR(O$36,G45:N45,G$36:N$36)</f>
        <v>2.4369229341614229E-2</v>
      </c>
      <c r="P45" s="241">
        <f>_xlfn.FORECAST.LINEAR(P$36,G45:O45,G$36:O$36)</f>
        <v>2.828293313413166E-2</v>
      </c>
      <c r="Q45" s="242">
        <f>_xlfn.FORECAST.LINEAR(Q$36,G45:P45,G$36:P$36)</f>
        <v>3.219663692664998E-2</v>
      </c>
      <c r="S45" s="216" t="s">
        <v>344</v>
      </c>
      <c r="T45" s="484" t="s">
        <v>367</v>
      </c>
      <c r="U45" s="241"/>
      <c r="V45" s="241"/>
      <c r="W45" s="241"/>
    </row>
    <row r="46" spans="6:23" ht="15.5">
      <c r="F46" s="138"/>
      <c r="G46" s="452"/>
      <c r="H46" s="453"/>
      <c r="I46" s="453"/>
      <c r="J46" s="453"/>
      <c r="K46" s="453"/>
      <c r="L46" s="454"/>
      <c r="M46" s="453"/>
      <c r="N46" s="453"/>
      <c r="O46" s="453"/>
      <c r="P46" s="453"/>
      <c r="Q46" s="457"/>
      <c r="S46" s="216"/>
      <c r="T46" s="484"/>
      <c r="U46" s="241"/>
      <c r="V46" s="241"/>
      <c r="W46" s="241"/>
    </row>
    <row r="47" spans="6:23" ht="16" thickBot="1">
      <c r="F47" s="474" t="s">
        <v>375</v>
      </c>
      <c r="G47" s="475">
        <f t="shared" ref="G47:L47" si="25">(-G$28)/G$26</f>
        <v>0.22898039065198109</v>
      </c>
      <c r="H47" s="476">
        <f t="shared" si="25"/>
        <v>0.22741930282802755</v>
      </c>
      <c r="I47" s="476">
        <f t="shared" si="25"/>
        <v>0.24703276770810126</v>
      </c>
      <c r="J47" s="476">
        <f t="shared" si="25"/>
        <v>0.23948928747065548</v>
      </c>
      <c r="K47" s="476">
        <f t="shared" si="25"/>
        <v>0.24421858740566343</v>
      </c>
      <c r="L47" s="477">
        <f t="shared" si="25"/>
        <v>0.30314883930769138</v>
      </c>
      <c r="M47" s="478">
        <f>_xlfn.FORECAST.LINEAR(M36,$G47:L47,$G36:L36)</f>
        <v>0.28975119090608814</v>
      </c>
      <c r="N47" s="476">
        <f>_xlfn.FORECAST.LINEAR(N36,$G47:M47,$G36:M36)</f>
        <v>0.30157109424248674</v>
      </c>
      <c r="O47" s="476">
        <f>_xlfn.FORECAST.LINEAR(O36,$G47:N47,$G36:N36)</f>
        <v>0.31339099757888533</v>
      </c>
      <c r="P47" s="476">
        <f>_xlfn.FORECAST.LINEAR(P36,$G47:O47,$G36:O36)</f>
        <v>0.32521090091528748</v>
      </c>
      <c r="Q47" s="479">
        <f>_xlfn.FORECAST.LINEAR(Q36,$G47:P47,$G36:P36)</f>
        <v>0.33703080425168963</v>
      </c>
      <c r="S47" s="251" t="s">
        <v>344</v>
      </c>
      <c r="T47" s="485" t="s">
        <v>367</v>
      </c>
      <c r="U47" s="241"/>
      <c r="V47" s="241"/>
      <c r="W47" s="241"/>
    </row>
  </sheetData>
  <mergeCells count="15">
    <mergeCell ref="F35:Q35"/>
    <mergeCell ref="B11:D11"/>
    <mergeCell ref="B4:D4"/>
    <mergeCell ref="B10:D10"/>
    <mergeCell ref="B5:D5"/>
    <mergeCell ref="B7:D7"/>
    <mergeCell ref="B13:D13"/>
    <mergeCell ref="B15:D15"/>
    <mergeCell ref="B6:D6"/>
    <mergeCell ref="B9:D9"/>
    <mergeCell ref="B14:D14"/>
    <mergeCell ref="B12:D12"/>
    <mergeCell ref="B8:D8"/>
    <mergeCell ref="B16:D16"/>
    <mergeCell ref="B17:D17"/>
  </mergeCells>
  <hyperlinks>
    <hyperlink ref="B10:D10" location="'Forecasted IS'!A1" display="Forecasted IS" xr:uid="{71A7B21B-9CAF-4B0D-AD90-6AB028FBBD7E}"/>
    <hyperlink ref="B5:D5" location="'Income Statement'!A1" display="Income Statement" xr:uid="{6530353B-3EAA-4115-A1CF-89A88AEC5E69}"/>
    <hyperlink ref="B7:D7" location="'Market data'!A1" display="Market Data" xr:uid="{F411C67F-CD55-4FAB-8C4A-D41306388C5E}"/>
    <hyperlink ref="B6:D6" location="'Key stats'!A1" display="Key Stat" xr:uid="{3361BA00-D725-4580-8FAB-3C826A49CBCD}"/>
    <hyperlink ref="B9:D9" location="'Cash Flow'!A1" display="Cash Flow" xr:uid="{78DDC2C8-0FB3-45B7-A0A4-B5B5BF047626}"/>
    <hyperlink ref="B14:D14" location="FCF!A1" display="FCF" xr:uid="{E03C4111-4A6F-4425-B4B5-4A27AD637A0A}"/>
    <hyperlink ref="B12:D12" location="WACC!A1" display="WACC" xr:uid="{85E5894B-50F2-4550-9471-BB8B6C72939F}"/>
    <hyperlink ref="B8:D8" location="Segments!A1" display="Segments" xr:uid="{2C995EEA-EB39-465F-B6BF-D6B6D2AA3AD9}"/>
    <hyperlink ref="B13:D13" location="TV!A1" display="TV" xr:uid="{EF8FB46C-3EF9-4477-8BDC-ABF6295D5B3C}"/>
    <hyperlink ref="B15:D15" location="'sensitivity analysis'!A1" display="Sensitivity analysis" xr:uid="{8D3AB706-8EDA-4F15-9D1F-B9B9B397E634}"/>
    <hyperlink ref="B16:D16" location="Comparables!A1" display="Comparables" xr:uid="{0084324D-482D-4BE0-A589-76DFF1C27279}"/>
    <hyperlink ref="B17:D17" location="Project!A1" display="Project" xr:uid="{6308D0CB-BEB8-456E-B72E-AEEBE6342463}"/>
    <hyperlink ref="B4:D4" location="'Balance sheet'!A1" display="Balance Sheet" xr:uid="{ECE52D1B-7F6A-4B4B-BBA1-C82F124F09C7}"/>
    <hyperlink ref="B11:D11" location="'Forecasted BS'!A1" display="Forecasted BS" xr:uid="{ECCF0187-4433-445B-9C43-3A33DC3EA263}"/>
  </hyperlink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573B3-EA57-4F3B-B8C9-D9268DC90E93}">
  <sheetPr>
    <tabColor rgb="FFFF0000"/>
  </sheetPr>
  <dimension ref="B2:AJ101"/>
  <sheetViews>
    <sheetView topLeftCell="F47" zoomScaleNormal="100" workbookViewId="0">
      <selection activeCell="F39" sqref="F39"/>
    </sheetView>
  </sheetViews>
  <sheetFormatPr baseColWidth="10" defaultColWidth="11.453125" defaultRowHeight="14.5"/>
  <cols>
    <col min="6" max="6" width="60.08984375" customWidth="1"/>
    <col min="7" max="8" width="13.453125" customWidth="1"/>
    <col min="9" max="9" width="11.08984375" customWidth="1"/>
    <col min="10" max="10" width="12.453125" customWidth="1"/>
    <col min="11" max="11" width="14.453125" bestFit="1" customWidth="1"/>
    <col min="12" max="12" width="11.453125" customWidth="1"/>
    <col min="18" max="18" width="17.453125" bestFit="1" customWidth="1"/>
    <col min="19" max="19" width="18.08984375" bestFit="1" customWidth="1"/>
    <col min="20" max="20" width="145.90625" bestFit="1" customWidth="1"/>
    <col min="25" max="25" width="11.453125" customWidth="1"/>
  </cols>
  <sheetData>
    <row r="2" spans="2:17" ht="15" thickBot="1"/>
    <row r="3" spans="2:17" ht="19.5">
      <c r="B3" s="125"/>
      <c r="C3" s="88" t="s">
        <v>237</v>
      </c>
      <c r="D3" s="126"/>
      <c r="F3" s="87" t="s">
        <v>376</v>
      </c>
      <c r="G3" s="108">
        <v>2015</v>
      </c>
      <c r="H3" s="108">
        <v>2016</v>
      </c>
      <c r="I3" s="108">
        <v>2017</v>
      </c>
      <c r="J3" s="108">
        <v>2018</v>
      </c>
      <c r="K3" s="108">
        <v>2019</v>
      </c>
      <c r="L3" s="112">
        <f>2020</f>
        <v>2020</v>
      </c>
      <c r="M3" s="111">
        <v>2021</v>
      </c>
      <c r="N3" s="109">
        <v>2022</v>
      </c>
      <c r="O3" s="109">
        <v>2023</v>
      </c>
      <c r="P3" s="109">
        <v>2024</v>
      </c>
      <c r="Q3" s="110">
        <v>2025</v>
      </c>
    </row>
    <row r="4" spans="2:17" ht="17.399999999999999" customHeight="1">
      <c r="B4" s="644" t="s">
        <v>21</v>
      </c>
      <c r="C4" s="645"/>
      <c r="D4" s="646"/>
      <c r="F4" s="90" t="s">
        <v>377</v>
      </c>
      <c r="G4" s="75"/>
      <c r="H4" s="91"/>
      <c r="I4" s="91"/>
      <c r="J4" s="91"/>
      <c r="K4" s="91"/>
      <c r="L4" s="264"/>
      <c r="M4" s="265"/>
      <c r="N4" s="265"/>
      <c r="O4" s="265"/>
      <c r="P4" s="265"/>
      <c r="Q4" s="92"/>
    </row>
    <row r="5" spans="2:17" ht="16" thickBot="1">
      <c r="B5" s="644" t="s">
        <v>112</v>
      </c>
      <c r="C5" s="645"/>
      <c r="D5" s="646"/>
      <c r="F5" s="93" t="s">
        <v>378</v>
      </c>
      <c r="G5" s="76">
        <f t="shared" ref="G5:K5" si="0">G7+G18+G25</f>
        <v>4030.0750000000007</v>
      </c>
      <c r="H5" s="72">
        <f t="shared" si="0"/>
        <v>4145.7509999999993</v>
      </c>
      <c r="I5" s="72">
        <f t="shared" si="0"/>
        <v>5115.6610000000001</v>
      </c>
      <c r="J5" s="72">
        <f t="shared" si="0"/>
        <v>6053.3099999999995</v>
      </c>
      <c r="K5" s="72">
        <f t="shared" si="0"/>
        <v>7023.39</v>
      </c>
      <c r="L5" s="73">
        <f t="shared" ref="L5:Q5" si="1">L7+L18+L25</f>
        <v>8340.893</v>
      </c>
      <c r="M5" s="72">
        <f t="shared" si="1"/>
        <v>8904.0323127971569</v>
      </c>
      <c r="N5" s="72">
        <f t="shared" si="1"/>
        <v>10154.716808023812</v>
      </c>
      <c r="O5" s="72">
        <f t="shared" si="1"/>
        <v>11479.035096768403</v>
      </c>
      <c r="P5" s="72">
        <f t="shared" si="1"/>
        <v>12399.429053259706</v>
      </c>
      <c r="Q5" s="94">
        <f t="shared" si="1"/>
        <v>13434.8512059685</v>
      </c>
    </row>
    <row r="6" spans="2:17" ht="15.5">
      <c r="B6" s="644" t="s">
        <v>247</v>
      </c>
      <c r="C6" s="645"/>
      <c r="D6" s="646"/>
      <c r="F6" s="95"/>
      <c r="G6" s="77"/>
      <c r="H6" s="96"/>
      <c r="I6" s="96"/>
      <c r="J6" s="96"/>
      <c r="K6" s="96"/>
      <c r="L6" s="54"/>
      <c r="M6" s="40"/>
      <c r="N6" s="97"/>
      <c r="O6" s="97"/>
      <c r="P6" s="97"/>
      <c r="Q6" s="98"/>
    </row>
    <row r="7" spans="2:17" ht="15.5">
      <c r="B7" s="644" t="s">
        <v>246</v>
      </c>
      <c r="C7" s="645"/>
      <c r="D7" s="646"/>
      <c r="F7" s="99" t="s">
        <v>379</v>
      </c>
      <c r="G7" s="78">
        <f t="shared" ref="G7:K7" si="2">SUM(G8:G17)</f>
        <v>1614.2030000000002</v>
      </c>
      <c r="H7" s="42">
        <f t="shared" si="2"/>
        <v>1727.4099999999999</v>
      </c>
      <c r="I7" s="42">
        <f t="shared" si="2"/>
        <v>1945.6759999999999</v>
      </c>
      <c r="J7" s="42">
        <f t="shared" si="2"/>
        <v>2246.2149999999997</v>
      </c>
      <c r="K7" s="42">
        <f t="shared" si="2"/>
        <v>2810.2280000000001</v>
      </c>
      <c r="L7" s="55">
        <f t="shared" ref="L7:Q7" si="3">SUM(L8:L17)</f>
        <v>2895.694</v>
      </c>
      <c r="M7" s="266">
        <f t="shared" si="3"/>
        <v>2962.4509499724809</v>
      </c>
      <c r="N7" s="42">
        <f t="shared" si="3"/>
        <v>3295.9303349951479</v>
      </c>
      <c r="O7" s="42">
        <f t="shared" si="3"/>
        <v>3496.4761404849232</v>
      </c>
      <c r="P7" s="42">
        <f t="shared" si="3"/>
        <v>3618.4966369220324</v>
      </c>
      <c r="Q7" s="267">
        <f t="shared" si="3"/>
        <v>3845.3775592412567</v>
      </c>
    </row>
    <row r="8" spans="2:17" ht="15.5">
      <c r="B8" s="644" t="s">
        <v>252</v>
      </c>
      <c r="C8" s="645"/>
      <c r="D8" s="646"/>
      <c r="F8" s="329" t="s">
        <v>380</v>
      </c>
      <c r="G8" s="330">
        <f>'Balance sheet'!B36+'Balance sheet'!B37+'Balance sheet'!B40</f>
        <v>251.79100000000003</v>
      </c>
      <c r="H8" s="319">
        <f>'Balance sheet'!C36+'Balance sheet'!C37+'Balance sheet'!C40</f>
        <v>305.33999999999997</v>
      </c>
      <c r="I8" s="319">
        <f>'Balance sheet'!D36+'Balance sheet'!D37+'Balance sheet'!D40</f>
        <v>328.80799999999999</v>
      </c>
      <c r="J8" s="319">
        <f>'Balance sheet'!E36+'Balance sheet'!E37+'Balance sheet'!E40</f>
        <v>337.30500000000001</v>
      </c>
      <c r="K8" s="319">
        <f>'Balance sheet'!F36+'Balance sheet'!F37+'Balance sheet'!F40</f>
        <v>370.85900000000004</v>
      </c>
      <c r="L8" s="343">
        <f>'Balance sheet'!G36+'Balance sheet'!G37+'Balance sheet'!G40</f>
        <v>346.88800000000003</v>
      </c>
      <c r="M8" s="344">
        <f>M59*'Forecasted IS'!M$10</f>
        <v>393.83615466310198</v>
      </c>
      <c r="N8" s="344">
        <f>N59*'Forecasted IS'!N$10</f>
        <v>422.63922447990831</v>
      </c>
      <c r="O8" s="344">
        <f>O59*'Forecasted IS'!O$10</f>
        <v>443.76774107944829</v>
      </c>
      <c r="P8" s="344">
        <f>P59*'Forecasted IS'!P$10</f>
        <v>468.19223140046591</v>
      </c>
      <c r="Q8" s="345">
        <f>Q59*'Forecasted IS'!Q$10</f>
        <v>493.15057335321654</v>
      </c>
    </row>
    <row r="9" spans="2:17" ht="15.5">
      <c r="B9" s="644" t="s">
        <v>249</v>
      </c>
      <c r="C9" s="645"/>
      <c r="D9" s="646"/>
      <c r="F9" s="329" t="s">
        <v>381</v>
      </c>
      <c r="G9" s="330">
        <f>'Balance sheet'!B33</f>
        <v>1022.591</v>
      </c>
      <c r="H9" s="319">
        <f>'Balance sheet'!C33</f>
        <v>1070.403</v>
      </c>
      <c r="I9" s="319">
        <f>'Balance sheet'!D33</f>
        <v>1301.4110000000001</v>
      </c>
      <c r="J9" s="319">
        <f>'Balance sheet'!E33</f>
        <v>1601.8920000000001</v>
      </c>
      <c r="K9" s="319">
        <f>'Balance sheet'!F33</f>
        <v>2094.672</v>
      </c>
      <c r="L9" s="56">
        <f>'Balance sheet'!G33</f>
        <v>2163.6610000000001</v>
      </c>
      <c r="M9" s="344">
        <f>M60*'Forecasted IS'!M$10</f>
        <v>2188.0607255332984</v>
      </c>
      <c r="N9" s="344">
        <f>N60*'Forecasted IS'!N$10</f>
        <v>2456.5018199877295</v>
      </c>
      <c r="O9" s="344">
        <f>O60*'Forecasted IS'!O$10</f>
        <v>2604.2621797751244</v>
      </c>
      <c r="P9" s="344">
        <f>P60*'Forecasted IS'!P$10</f>
        <v>2690.2196818975422</v>
      </c>
      <c r="Q9" s="345">
        <f>Q60*'Forecasted IS'!Q$10</f>
        <v>2864.6725062543223</v>
      </c>
    </row>
    <row r="10" spans="2:17" ht="15.5">
      <c r="B10" s="644" t="s">
        <v>242</v>
      </c>
      <c r="C10" s="645"/>
      <c r="D10" s="646"/>
      <c r="F10" s="329" t="s">
        <v>382</v>
      </c>
      <c r="G10" s="330">
        <f>'Balance sheet'!B85</f>
        <v>189.80199999999999</v>
      </c>
      <c r="H10" s="319">
        <f>'Balance sheet'!C85</f>
        <v>195.33199999999999</v>
      </c>
      <c r="I10" s="319">
        <f>'Balance sheet'!D85</f>
        <v>153.00800000000001</v>
      </c>
      <c r="J10" s="319">
        <f>'Balance sheet'!E85</f>
        <v>151.37200000000001</v>
      </c>
      <c r="K10" s="319">
        <f>'Balance sheet'!F85</f>
        <v>150.642</v>
      </c>
      <c r="L10" s="346">
        <f>'Balance sheet'!G85</f>
        <v>139.839</v>
      </c>
      <c r="M10" s="344">
        <f>M61*'Forecasted IS'!M10</f>
        <v>164.96464926581339</v>
      </c>
      <c r="N10" s="344">
        <f>N61*'Forecasted IS'!N$10</f>
        <v>173.01031263171396</v>
      </c>
      <c r="O10" s="344">
        <f>O61*'Forecasted IS'!O$10</f>
        <v>182.13980969202868</v>
      </c>
      <c r="P10" s="344">
        <f>P61*'Forecasted IS'!P$10</f>
        <v>193.30261389309328</v>
      </c>
      <c r="Q10" s="345">
        <f>Q61*'Forecasted IS'!Q$10</f>
        <v>202.62859473733701</v>
      </c>
    </row>
    <row r="11" spans="2:17" ht="15.5">
      <c r="B11" s="644" t="s">
        <v>239</v>
      </c>
      <c r="C11" s="645"/>
      <c r="D11" s="646"/>
      <c r="F11" s="329" t="s">
        <v>383</v>
      </c>
      <c r="G11" s="341">
        <f>'Balance sheet'!B35-'Balance sheet'!B85-G12</f>
        <v>29.236000000000018</v>
      </c>
      <c r="H11" s="342">
        <f>'Balance sheet'!C35-'Balance sheet'!C85-H12</f>
        <v>26.414000000000016</v>
      </c>
      <c r="I11" s="342">
        <f>'Balance sheet'!D35-'Balance sheet'!D85-I12</f>
        <v>22.330999999999989</v>
      </c>
      <c r="J11" s="342">
        <f>'Balance sheet'!E35-'Balance sheet'!E85-J12</f>
        <v>0</v>
      </c>
      <c r="K11" s="342">
        <f>'Balance sheet'!F35-'Balance sheet'!F85-K12</f>
        <v>0</v>
      </c>
      <c r="L11" s="346">
        <f>'Balance sheet'!G35-'Balance sheet'!G85-L12</f>
        <v>0</v>
      </c>
      <c r="M11" s="344">
        <f>M62*'Forecasted IS'!M$10</f>
        <v>-5.23530097603608E-15</v>
      </c>
      <c r="N11" s="344">
        <f>N62*'Forecasted IS'!N$10</f>
        <v>-3.8657878452465139E-15</v>
      </c>
      <c r="O11" s="344">
        <f>O62*'Forecasted IS'!O$10</f>
        <v>-1.8083600688927592E-15</v>
      </c>
      <c r="P11" s="344">
        <f>P62*'Forecasted IS'!P$10</f>
        <v>-4.1351588861303802E-15</v>
      </c>
      <c r="Q11" s="345">
        <f>Q62*'Forecasted IS'!Q$10</f>
        <v>-3.6275546923258581E-15</v>
      </c>
    </row>
    <row r="12" spans="2:17" ht="15.5">
      <c r="B12" s="644" t="s">
        <v>251</v>
      </c>
      <c r="C12" s="645"/>
      <c r="D12" s="646"/>
      <c r="F12" s="329" t="s">
        <v>384</v>
      </c>
      <c r="G12" s="347">
        <v>0</v>
      </c>
      <c r="H12" s="348">
        <v>0</v>
      </c>
      <c r="I12" s="348">
        <v>0</v>
      </c>
      <c r="J12" s="207">
        <v>8.0280000000000005</v>
      </c>
      <c r="K12" s="207">
        <v>10.897</v>
      </c>
      <c r="L12" s="349">
        <v>8.3520000000000003</v>
      </c>
      <c r="M12" s="350">
        <f>M63*'Forecasted IS'!M10</f>
        <v>5.083332253660636</v>
      </c>
      <c r="N12" s="350">
        <f>N63*'Forecasted IS'!N$10</f>
        <v>5.3923869421369099</v>
      </c>
      <c r="O12" s="350">
        <f>O63*'Forecasted IS'!O$10</f>
        <v>5.701441630613183</v>
      </c>
      <c r="P12" s="350">
        <f>P63*'Forecasted IS'!P$10</f>
        <v>6.0104963190894951</v>
      </c>
      <c r="Q12" s="351">
        <f>Q63*'Forecasted IS'!Q$10</f>
        <v>6.3195510075657282</v>
      </c>
    </row>
    <row r="13" spans="2:17" ht="15.5">
      <c r="B13" s="644" t="s">
        <v>254</v>
      </c>
      <c r="C13" s="645"/>
      <c r="D13" s="646"/>
      <c r="F13" s="329" t="s">
        <v>385</v>
      </c>
      <c r="G13" s="330">
        <f>'Balance sheet'!B38</f>
        <v>1.534</v>
      </c>
      <c r="H13" s="319">
        <f>'Balance sheet'!C38</f>
        <v>1.2010000000000001</v>
      </c>
      <c r="I13" s="319">
        <f>'Balance sheet'!D38</f>
        <v>11.285</v>
      </c>
      <c r="J13" s="319">
        <f>'Balance sheet'!E38</f>
        <v>2.6269999999999998</v>
      </c>
      <c r="K13" s="319">
        <f>'Balance sheet'!F38</f>
        <v>2.1920000000000002</v>
      </c>
      <c r="L13" s="346">
        <f>'Balance sheet'!G38</f>
        <v>3.2519999999999998</v>
      </c>
      <c r="M13" s="344">
        <f>L13*(1+$M$65)</f>
        <v>3.1777164216297034</v>
      </c>
      <c r="N13" s="344">
        <f>M13*(1+$M$65)</f>
        <v>3.1051296606073455</v>
      </c>
      <c r="O13" s="344">
        <f>N13*(1+$M$65)</f>
        <v>3.0342009575035145</v>
      </c>
      <c r="P13" s="344">
        <f>O13*(1+$M$65)</f>
        <v>2.9648924382483051</v>
      </c>
      <c r="Q13" s="345">
        <f>P13*(1+$M$65)</f>
        <v>2.8971670939075556</v>
      </c>
    </row>
    <row r="14" spans="2:17" ht="15.5">
      <c r="B14" s="644" t="s">
        <v>350</v>
      </c>
      <c r="C14" s="645"/>
      <c r="D14" s="646"/>
      <c r="F14" s="329" t="s">
        <v>386</v>
      </c>
      <c r="G14" s="330">
        <f>'Balance sheet'!B41</f>
        <v>15.192</v>
      </c>
      <c r="H14" s="319">
        <f>'Balance sheet'!C41</f>
        <v>11.115</v>
      </c>
      <c r="I14" s="319">
        <f>'Balance sheet'!D41</f>
        <v>14.147</v>
      </c>
      <c r="J14" s="319">
        <f>'Balance sheet'!E41</f>
        <v>12.135999999999999</v>
      </c>
      <c r="K14" s="319">
        <f>'Balance sheet'!F41</f>
        <v>12.039</v>
      </c>
      <c r="L14" s="346">
        <f>'Balance sheet'!G41</f>
        <v>11.763999999999999</v>
      </c>
      <c r="M14" s="344">
        <f>L14*(1+M65)</f>
        <v>11.495281667912616</v>
      </c>
      <c r="N14" s="344">
        <f t="shared" ref="N14:Q14" si="4">M14*(1+N65)</f>
        <v>11.23270151518598</v>
      </c>
      <c r="O14" s="344">
        <f t="shared" si="4"/>
        <v>10.976119330895246</v>
      </c>
      <c r="P14" s="344">
        <f t="shared" si="4"/>
        <v>10.725398106873634</v>
      </c>
      <c r="Q14" s="345">
        <f t="shared" si="4"/>
        <v>10.480403964553654</v>
      </c>
    </row>
    <row r="15" spans="2:17" ht="15.5">
      <c r="B15" s="644" t="s">
        <v>255</v>
      </c>
      <c r="C15" s="645"/>
      <c r="D15" s="646"/>
      <c r="F15" s="329" t="s">
        <v>387</v>
      </c>
      <c r="G15" s="330">
        <f>'Balance sheet'!B39</f>
        <v>104.057</v>
      </c>
      <c r="H15" s="319">
        <f>'Balance sheet'!C39</f>
        <v>117.605</v>
      </c>
      <c r="I15" s="319">
        <f>'Balance sheet'!D39</f>
        <v>114.68600000000001</v>
      </c>
      <c r="J15" s="319">
        <f>'Balance sheet'!E39</f>
        <v>132.85499999999999</v>
      </c>
      <c r="K15" s="319">
        <f>'Balance sheet'!F39</f>
        <v>168.92699999999999</v>
      </c>
      <c r="L15" s="346">
        <f>'Balance sheet'!G39</f>
        <v>221.93799999999999</v>
      </c>
      <c r="M15" s="344">
        <f>M66*'Forecasted IS'!M$10</f>
        <v>195.8330901670648</v>
      </c>
      <c r="N15" s="344">
        <f>N66*'Forecasted IS'!N$10</f>
        <v>224.04875977786602</v>
      </c>
      <c r="O15" s="344">
        <f>O66*'Forecasted IS'!O$10</f>
        <v>246.59464801930955</v>
      </c>
      <c r="P15" s="344">
        <f>P66*'Forecasted IS'!P$10</f>
        <v>247.0813228667196</v>
      </c>
      <c r="Q15" s="345">
        <f>Q66*'Forecasted IS'!Q$10</f>
        <v>265.22876283035316</v>
      </c>
    </row>
    <row r="16" spans="2:17" ht="15.5">
      <c r="B16" s="644" t="s">
        <v>352</v>
      </c>
      <c r="C16" s="645"/>
      <c r="D16" s="646"/>
      <c r="F16" s="329"/>
      <c r="G16" s="330"/>
      <c r="H16" s="319"/>
      <c r="I16" s="319"/>
      <c r="J16" s="319"/>
      <c r="K16" s="319"/>
      <c r="L16" s="346"/>
      <c r="M16" s="344"/>
      <c r="N16" s="344"/>
      <c r="O16" s="344"/>
      <c r="P16" s="344"/>
      <c r="Q16" s="345"/>
    </row>
    <row r="17" spans="2:18" ht="16" thickBot="1">
      <c r="B17" s="638" t="s">
        <v>353</v>
      </c>
      <c r="C17" s="639"/>
      <c r="D17" s="640"/>
      <c r="F17" s="329"/>
      <c r="G17" s="330"/>
      <c r="H17" s="319"/>
      <c r="I17" s="319"/>
      <c r="J17" s="319"/>
      <c r="K17" s="319"/>
      <c r="L17" s="346"/>
      <c r="M17" s="344"/>
      <c r="N17" s="344"/>
      <c r="O17" s="344"/>
      <c r="P17" s="344"/>
      <c r="Q17" s="345"/>
    </row>
    <row r="18" spans="2:18" ht="15.5">
      <c r="F18" s="99" t="s">
        <v>388</v>
      </c>
      <c r="G18" s="78">
        <f t="shared" ref="G18:K18" si="5">SUM(G19:G23)</f>
        <v>1996.2730000000004</v>
      </c>
      <c r="H18" s="42">
        <f t="shared" si="5"/>
        <v>2164.8569999999995</v>
      </c>
      <c r="I18" s="42">
        <f t="shared" si="5"/>
        <v>3169.9849999999997</v>
      </c>
      <c r="J18" s="42">
        <f t="shared" si="5"/>
        <v>3807.0950000000003</v>
      </c>
      <c r="K18" s="42">
        <f t="shared" si="5"/>
        <v>4213.1620000000003</v>
      </c>
      <c r="L18" s="55">
        <f t="shared" ref="L18:Q18" si="6">SUM(L19:L23)</f>
        <v>5445.1989999999996</v>
      </c>
      <c r="M18" s="42">
        <f t="shared" si="6"/>
        <v>5941.581362824676</v>
      </c>
      <c r="N18" s="42">
        <f t="shared" si="6"/>
        <v>6858.7864730286637</v>
      </c>
      <c r="O18" s="42">
        <f t="shared" si="6"/>
        <v>7982.5589562834793</v>
      </c>
      <c r="P18" s="42">
        <f t="shared" si="6"/>
        <v>8780.9324163376732</v>
      </c>
      <c r="Q18" s="267">
        <f t="shared" si="6"/>
        <v>9589.4736467272432</v>
      </c>
      <c r="R18" s="49"/>
    </row>
    <row r="19" spans="2:18" ht="15.5">
      <c r="F19" s="329" t="s">
        <v>385</v>
      </c>
      <c r="G19" s="330">
        <f>'Balance sheet'!B24</f>
        <v>2.6539999999999999</v>
      </c>
      <c r="H19" s="319">
        <f>'Balance sheet'!C24</f>
        <v>14.787000000000001</v>
      </c>
      <c r="I19" s="319">
        <f>'Balance sheet'!D24</f>
        <v>1.75</v>
      </c>
      <c r="J19" s="319">
        <f>'Balance sheet'!E24</f>
        <v>6.27</v>
      </c>
      <c r="K19" s="319">
        <f>'Balance sheet'!F24</f>
        <v>2E-3</v>
      </c>
      <c r="L19" s="346">
        <f>'Balance sheet'!G24</f>
        <v>0.08</v>
      </c>
      <c r="M19" s="352">
        <f>M69*'Forecasted IS'!M$32</f>
        <v>4.7654268767030423</v>
      </c>
      <c r="N19" s="352">
        <f>N69*'Forecasted IS'!N$32</f>
        <v>1.8687556965915515</v>
      </c>
      <c r="O19" s="352">
        <f>O69*'Forecasted IS'!O$32</f>
        <v>2.8246421381395517</v>
      </c>
      <c r="P19" s="352">
        <f>P69*'Forecasted IS'!P$32</f>
        <v>4.1698732429179231</v>
      </c>
      <c r="Q19" s="353">
        <f>Q69*'Forecasted IS'!Q$32</f>
        <v>3.5749252084788128</v>
      </c>
    </row>
    <row r="20" spans="2:18" ht="15.5">
      <c r="F20" s="329" t="s">
        <v>389</v>
      </c>
      <c r="G20" s="330">
        <f>'Balance sheet'!B27</f>
        <v>1053.6690000000001</v>
      </c>
      <c r="H20" s="319">
        <f>'Balance sheet'!C27</f>
        <v>1188.8219999999999</v>
      </c>
      <c r="I20" s="319">
        <f>'Balance sheet'!D27</f>
        <v>1628.423</v>
      </c>
      <c r="J20" s="319">
        <f>'Balance sheet'!E27</f>
        <v>2308.0940000000001</v>
      </c>
      <c r="K20" s="319">
        <f>'Balance sheet'!F27</f>
        <v>2462.33</v>
      </c>
      <c r="L20" s="346">
        <f>'Balance sheet'!G27</f>
        <v>2718.0920000000001</v>
      </c>
      <c r="M20" s="352">
        <f>M70*'Forecasted IS'!M$33</f>
        <v>2902.9085947674994</v>
      </c>
      <c r="N20" s="352">
        <f>N70*'Forecasted IS'!N$33</f>
        <v>3390.4791661237618</v>
      </c>
      <c r="O20" s="352">
        <f>O70*'Forecasted IS'!O$33</f>
        <v>3884.5042521412975</v>
      </c>
      <c r="P20" s="352">
        <f>P70*'Forecasted IS'!P$33</f>
        <v>4282.3095652896563</v>
      </c>
      <c r="Q20" s="354">
        <f>Q70*'Forecasted IS'!Q$33</f>
        <v>4458.0851816159475</v>
      </c>
    </row>
    <row r="21" spans="2:18" ht="15.5">
      <c r="F21" s="329" t="s">
        <v>386</v>
      </c>
      <c r="G21" s="79">
        <f>'Balance sheet'!B22+'Balance sheet'!B28+'Balance sheet'!B23-G22-G25</f>
        <v>829.80500000000006</v>
      </c>
      <c r="H21" s="100">
        <f>'Balance sheet'!C22+'Balance sheet'!C28+'Balance sheet'!C23-H25-H22</f>
        <v>844.27099999999984</v>
      </c>
      <c r="I21" s="100">
        <f>'Balance sheet'!D22+'Balance sheet'!D28+'Balance sheet'!D23-I25-I22</f>
        <v>1335.6609999999998</v>
      </c>
      <c r="J21" s="100">
        <f>'Balance sheet'!E22+'Balance sheet'!E28+'Balance sheet'!E23-J25-J22</f>
        <v>1145.98</v>
      </c>
      <c r="K21" s="100">
        <f>'Balance sheet'!F22+'Balance sheet'!F28+'Balance sheet'!F23-K22-K25</f>
        <v>1433.6590000000001</v>
      </c>
      <c r="L21" s="57">
        <f>'Balance sheet'!G22+'Balance sheet'!G28+'Balance sheet'!G23-L22-L25</f>
        <v>1677.1669999999999</v>
      </c>
      <c r="M21" s="344">
        <f>L21*(1+$M$71)</f>
        <v>1962.0350068523965</v>
      </c>
      <c r="N21" s="344">
        <f>M21*(1+$M$71)</f>
        <v>2295.2880471141416</v>
      </c>
      <c r="O21" s="344">
        <f>N21*(1+$M$71)</f>
        <v>2685.1443530953197</v>
      </c>
      <c r="P21" s="344">
        <f>O21*(1+$M$71)</f>
        <v>3141.2180297042864</v>
      </c>
      <c r="Q21" s="345">
        <f>P21*(1+$M$71)</f>
        <v>3674.7561444004805</v>
      </c>
    </row>
    <row r="22" spans="2:18" ht="15.5">
      <c r="F22" s="329" t="s">
        <v>390</v>
      </c>
      <c r="G22" s="355">
        <v>35.658999999999999</v>
      </c>
      <c r="H22" s="352">
        <v>32.517000000000003</v>
      </c>
      <c r="I22" s="352">
        <v>36.036000000000001</v>
      </c>
      <c r="J22" s="352">
        <v>61.671999999999997</v>
      </c>
      <c r="K22" s="352">
        <v>45.447000000000003</v>
      </c>
      <c r="L22" s="346">
        <v>39.552999999999997</v>
      </c>
      <c r="M22" s="352">
        <f>M72*'Forecasted IS'!M$33</f>
        <v>59.709670954526459</v>
      </c>
      <c r="N22" s="352">
        <f>N72*'Forecasted IS'!N$33</f>
        <v>63.801775851464811</v>
      </c>
      <c r="O22" s="352">
        <f>O72*'Forecasted IS'!O$33</f>
        <v>67.263766616027283</v>
      </c>
      <c r="P22" s="352">
        <f>P72*'Forecasted IS'!P$33</f>
        <v>71.013102665352534</v>
      </c>
      <c r="Q22" s="354">
        <f>Q72*'Forecasted IS'!Q$33</f>
        <v>74.957615004083181</v>
      </c>
    </row>
    <row r="23" spans="2:18" ht="15.5">
      <c r="F23" s="329" t="s">
        <v>391</v>
      </c>
      <c r="G23" s="330">
        <f>'Balance sheet'!B18</f>
        <v>74.486000000000004</v>
      </c>
      <c r="H23" s="319">
        <f>'Balance sheet'!C18</f>
        <v>84.46</v>
      </c>
      <c r="I23" s="319">
        <f>'Balance sheet'!D18</f>
        <v>168.11500000000001</v>
      </c>
      <c r="J23" s="319">
        <f>'Balance sheet'!E18</f>
        <v>285.07900000000001</v>
      </c>
      <c r="K23" s="319">
        <f>'Balance sheet'!F18</f>
        <v>271.72399999999999</v>
      </c>
      <c r="L23" s="346">
        <f>'Balance sheet'!G18</f>
        <v>1010.307</v>
      </c>
      <c r="M23" s="352">
        <f>M73*'Forecasted IS'!M$10</f>
        <v>1012.1626633735509</v>
      </c>
      <c r="N23" s="352">
        <f>N73*'Forecasted IS'!N$10</f>
        <v>1107.3487282427029</v>
      </c>
      <c r="O23" s="352">
        <f>O73*'Forecasted IS'!O$10</f>
        <v>1342.8219422926952</v>
      </c>
      <c r="P23" s="352">
        <f>P73*'Forecasted IS'!P$10</f>
        <v>1282.2218454354611</v>
      </c>
      <c r="Q23" s="354">
        <f>Q73*'Forecasted IS'!Q$10</f>
        <v>1378.0997804982519</v>
      </c>
    </row>
    <row r="24" spans="2:18" ht="15.5">
      <c r="F24" s="329"/>
      <c r="G24" s="330"/>
      <c r="H24" s="319"/>
      <c r="I24" s="319"/>
      <c r="J24" s="319"/>
      <c r="K24" s="319"/>
      <c r="L24" s="346"/>
      <c r="M24" s="352"/>
      <c r="N24" s="344"/>
      <c r="O24" s="344"/>
      <c r="P24" s="344"/>
      <c r="Q24" s="345"/>
    </row>
    <row r="25" spans="2:18" ht="15.5">
      <c r="F25" s="99" t="s">
        <v>392</v>
      </c>
      <c r="G25" s="80">
        <f>Segments!B47</f>
        <v>419.59899999999999</v>
      </c>
      <c r="H25" s="41">
        <f>Segments!C47</f>
        <v>253.48400000000001</v>
      </c>
      <c r="I25" s="41">
        <f>Segments!D47</f>
        <v>0</v>
      </c>
      <c r="J25" s="41">
        <f>Segments!E47</f>
        <v>0</v>
      </c>
      <c r="K25" s="41">
        <f>Segments!F47</f>
        <v>0</v>
      </c>
      <c r="L25" s="55">
        <f>Segments!G47</f>
        <v>0</v>
      </c>
      <c r="M25" s="42">
        <f>Segments!H47</f>
        <v>0</v>
      </c>
      <c r="N25" s="42">
        <f>Segments!I47</f>
        <v>0</v>
      </c>
      <c r="O25" s="42">
        <f>Segments!J47</f>
        <v>0</v>
      </c>
      <c r="P25" s="42">
        <f>Segments!K47</f>
        <v>0</v>
      </c>
      <c r="Q25" s="267">
        <f>Segments!L47</f>
        <v>0</v>
      </c>
    </row>
    <row r="26" spans="2:18" ht="15.5">
      <c r="F26" s="329"/>
      <c r="G26" s="356"/>
      <c r="H26" s="319"/>
      <c r="I26" s="319"/>
      <c r="J26" s="319"/>
      <c r="K26" s="319"/>
      <c r="L26" s="346"/>
      <c r="M26" s="352"/>
      <c r="N26" s="344"/>
      <c r="O26" s="344"/>
      <c r="P26" s="344"/>
      <c r="Q26" s="345"/>
    </row>
    <row r="27" spans="2:18" ht="15.5">
      <c r="F27" s="329"/>
      <c r="G27" s="330"/>
      <c r="H27" s="319"/>
      <c r="I27" s="319"/>
      <c r="J27" s="319"/>
      <c r="K27" s="319"/>
      <c r="L27" s="346"/>
      <c r="M27" s="352"/>
      <c r="N27" s="344"/>
      <c r="O27" s="344"/>
      <c r="P27" s="344"/>
      <c r="Q27" s="345"/>
    </row>
    <row r="28" spans="2:18" ht="16" thickBot="1">
      <c r="F28" s="93" t="s">
        <v>393</v>
      </c>
      <c r="G28" s="76">
        <f>G31+G41+G48+G54</f>
        <v>4030.1350000000002</v>
      </c>
      <c r="H28" s="72">
        <f t="shared" ref="H28:L28" si="7">H31+H41+H48+H54</f>
        <v>4145.7840000000006</v>
      </c>
      <c r="I28" s="72">
        <f t="shared" si="7"/>
        <v>5115.6319999999996</v>
      </c>
      <c r="J28" s="72">
        <f t="shared" si="7"/>
        <v>6053.357</v>
      </c>
      <c r="K28" s="72">
        <f t="shared" si="7"/>
        <v>7023.344000000001</v>
      </c>
      <c r="L28" s="73">
        <f t="shared" si="7"/>
        <v>8340.9390000000003</v>
      </c>
      <c r="M28" s="72">
        <f>M31+M41+M48+M54</f>
        <v>9273.2577700887432</v>
      </c>
      <c r="N28" s="72">
        <f>N31+N41+N48+N54</f>
        <v>10523.544422025981</v>
      </c>
      <c r="O28" s="72">
        <f>O31+O41+O48+O54</f>
        <v>11924.759678257426</v>
      </c>
      <c r="P28" s="72">
        <f>P31+P41+P48+P54</f>
        <v>13449.844975936909</v>
      </c>
      <c r="Q28" s="94">
        <f>Q31+Q41+Q48+Q54</f>
        <v>15163.593174242149</v>
      </c>
    </row>
    <row r="29" spans="2:18" ht="15.5">
      <c r="F29" s="95"/>
      <c r="G29" s="77"/>
      <c r="H29" s="96"/>
      <c r="I29" s="96"/>
      <c r="J29" s="96"/>
      <c r="K29" s="96"/>
      <c r="L29" s="58"/>
      <c r="M29" s="43"/>
      <c r="N29" s="101"/>
      <c r="O29" s="101"/>
      <c r="P29" s="101"/>
      <c r="Q29" s="102"/>
    </row>
    <row r="30" spans="2:18" ht="15.5">
      <c r="F30" s="95"/>
      <c r="G30" s="77"/>
      <c r="H30" s="96"/>
      <c r="I30" s="96"/>
      <c r="J30" s="96"/>
      <c r="K30" s="96"/>
      <c r="L30" s="346"/>
      <c r="M30" s="352"/>
      <c r="N30" s="344"/>
      <c r="O30" s="344"/>
      <c r="P30" s="344"/>
      <c r="Q30" s="345"/>
    </row>
    <row r="31" spans="2:18" ht="15.5">
      <c r="F31" s="99" t="s">
        <v>394</v>
      </c>
      <c r="G31" s="78">
        <f t="shared" ref="G31:K31" si="8">SUM(G36:G38)</f>
        <v>1785.029</v>
      </c>
      <c r="H31" s="42">
        <f t="shared" si="8"/>
        <v>1848.0770000000002</v>
      </c>
      <c r="I31" s="42">
        <f t="shared" si="8"/>
        <v>1862.6070000000002</v>
      </c>
      <c r="J31" s="42">
        <f t="shared" si="8"/>
        <v>2659.3820000000001</v>
      </c>
      <c r="K31" s="42">
        <f t="shared" si="8"/>
        <v>2660.4259999999999</v>
      </c>
      <c r="L31" s="55">
        <f t="shared" ref="L31:Q31" si="9">SUM(L36:L38)</f>
        <v>2621.9019999999996</v>
      </c>
      <c r="M31" s="42">
        <f t="shared" si="9"/>
        <v>2965.8906086961238</v>
      </c>
      <c r="N31" s="42">
        <f t="shared" si="9"/>
        <v>3135.2981106817497</v>
      </c>
      <c r="O31" s="42">
        <f t="shared" si="9"/>
        <v>3329.2426760526646</v>
      </c>
      <c r="P31" s="42">
        <f t="shared" si="9"/>
        <v>3503.7476392770454</v>
      </c>
      <c r="Q31" s="267">
        <f t="shared" si="9"/>
        <v>3682.8207448500666</v>
      </c>
    </row>
    <row r="32" spans="2:18" ht="15.5">
      <c r="F32" s="329" t="s">
        <v>395</v>
      </c>
      <c r="G32" s="355">
        <f>'Balance sheet'!B62</f>
        <v>502.86200000000002</v>
      </c>
      <c r="H32" s="352">
        <f>'Balance sheet'!C62</f>
        <v>502.86200000000002</v>
      </c>
      <c r="I32" s="352">
        <f>'Balance sheet'!D62</f>
        <v>502.86200000000002</v>
      </c>
      <c r="J32" s="352">
        <f>'Balance sheet'!E62</f>
        <v>1384.2729999999999</v>
      </c>
      <c r="K32" s="352">
        <f>'Balance sheet'!F62</f>
        <v>1384.2729999999999</v>
      </c>
      <c r="L32" s="346">
        <f>'Balance sheet'!G62</f>
        <v>1384.2729999999999</v>
      </c>
      <c r="M32" s="352">
        <f>M78*'Forecasted IS'!M$32</f>
        <v>2238.0234896539027</v>
      </c>
      <c r="N32" s="352">
        <f>N78*'Forecasted IS'!N$32</f>
        <v>2238.827564027586</v>
      </c>
      <c r="O32" s="352">
        <f>O78*'Forecasted IS'!O$32</f>
        <v>2470.7917695781498</v>
      </c>
      <c r="P32" s="352">
        <f>P78*'Forecasted IS'!P$32</f>
        <v>2960.3354420542878</v>
      </c>
      <c r="Q32" s="353">
        <f>Q78*'Forecasted IS'!Q$32</f>
        <v>3156.2497123083217</v>
      </c>
    </row>
    <row r="33" spans="6:36" ht="15.5">
      <c r="F33" s="329" t="s">
        <v>396</v>
      </c>
      <c r="G33" s="355">
        <f>'Balance sheet'!B64</f>
        <v>1501.29</v>
      </c>
      <c r="H33" s="352">
        <f>'Balance sheet'!C64</f>
        <v>1559.9690000000001</v>
      </c>
      <c r="I33" s="352">
        <f>'Balance sheet'!D64</f>
        <v>1584.442</v>
      </c>
      <c r="J33" s="618">
        <f>'Balance sheet'!E64</f>
        <v>1610.8820000000001</v>
      </c>
      <c r="K33" s="352">
        <f>'Balance sheet'!F64</f>
        <v>1678.355</v>
      </c>
      <c r="L33" s="346">
        <f>'Balance sheet'!G64</f>
        <v>1749.655</v>
      </c>
      <c r="M33" s="352">
        <f>M79*'Forecasted IS'!M$10</f>
        <v>1882.2254219639419</v>
      </c>
      <c r="N33" s="344">
        <f>N79*'Forecasted IS'!N$10</f>
        <v>2020.3471974356171</v>
      </c>
      <c r="O33" s="344">
        <f>O79*'Forecasted IS'!O$10</f>
        <v>2160.0783943560491</v>
      </c>
      <c r="P33" s="344">
        <f>P79*'Forecasted IS'!P$10</f>
        <v>2251.5435747855486</v>
      </c>
      <c r="Q33" s="345">
        <f>Q79*'Forecasted IS'!Q$10</f>
        <v>2376.4330800918319</v>
      </c>
    </row>
    <row r="34" spans="6:36" ht="15.5">
      <c r="F34" s="329" t="s">
        <v>397</v>
      </c>
      <c r="G34" s="355">
        <f>'Balance sheet'!B66-G38</f>
        <v>-175.471</v>
      </c>
      <c r="H34" s="352">
        <f>'Balance sheet'!C66-H38</f>
        <v>-144.18299999999999</v>
      </c>
      <c r="I34" s="352">
        <f>'Balance sheet'!D66-I38</f>
        <v>-202.5</v>
      </c>
      <c r="J34" s="618">
        <f>'Balance sheet'!E66-J38</f>
        <v>-227.6</v>
      </c>
      <c r="K34" s="352">
        <f>'Balance sheet'!F66-K38</f>
        <v>-284.5</v>
      </c>
      <c r="L34" s="346">
        <f>'Balance sheet'!G66-L38</f>
        <v>-367.8</v>
      </c>
      <c r="M34" s="352">
        <f>M80*'Forecasted IS'!M$32</f>
        <v>-446.7193429920539</v>
      </c>
      <c r="N34" s="352">
        <f>N80*'Forecasted IS'!N$32</f>
        <v>-489.36982820682789</v>
      </c>
      <c r="O34" s="352">
        <f>O80*'Forecasted IS'!O$32</f>
        <v>-552.02061485772686</v>
      </c>
      <c r="P34" s="352">
        <f>P80*'Forecasted IS'!P$32</f>
        <v>-630.79302374074484</v>
      </c>
      <c r="Q34" s="354">
        <f>Q80*'Forecasted IS'!Q$32</f>
        <v>-688.82442991782887</v>
      </c>
    </row>
    <row r="35" spans="6:36" ht="15.5">
      <c r="F35" s="329" t="s">
        <v>398</v>
      </c>
      <c r="G35" s="355">
        <f>'Balance sheet'!B65</f>
        <v>-129.9</v>
      </c>
      <c r="H35" s="352">
        <f>'Balance sheet'!C65</f>
        <v>-89.6</v>
      </c>
      <c r="I35" s="352">
        <f>'Balance sheet'!D65</f>
        <v>-81.8</v>
      </c>
      <c r="J35" s="352">
        <f>'Balance sheet'!E65</f>
        <v>-158.1</v>
      </c>
      <c r="K35" s="352">
        <f>'Balance sheet'!F65</f>
        <v>-184.7</v>
      </c>
      <c r="L35" s="346">
        <f>'Balance sheet'!G65</f>
        <v>-208.9</v>
      </c>
      <c r="M35" s="352">
        <f>M81*'Forecasted IS'!M$10</f>
        <v>-206.13602641865637</v>
      </c>
      <c r="N35" s="344">
        <f>N81*'Forecasted IS'!N$10</f>
        <v>-228.56216385499505</v>
      </c>
      <c r="O35" s="344">
        <f>O81*'Forecasted IS'!O$10</f>
        <v>-246.49065994589637</v>
      </c>
      <c r="P35" s="344">
        <f>P81*'Forecasted IS'!P$10</f>
        <v>-252.78240733178197</v>
      </c>
      <c r="Q35" s="345">
        <f>Q81*'Forecasted IS'!Q$10</f>
        <v>-268.95156418035577</v>
      </c>
    </row>
    <row r="36" spans="6:36" ht="15.5">
      <c r="F36" s="103" t="s">
        <v>399</v>
      </c>
      <c r="G36" s="81">
        <f>SUM(G32:G35)</f>
        <v>1698.7809999999999</v>
      </c>
      <c r="H36" s="44">
        <f t="shared" ref="H36:L36" si="10">SUM(H32:H35)</f>
        <v>1829.0480000000002</v>
      </c>
      <c r="I36" s="44">
        <f t="shared" si="10"/>
        <v>1803.0040000000001</v>
      </c>
      <c r="J36" s="44">
        <f t="shared" si="10"/>
        <v>2609.4549999999999</v>
      </c>
      <c r="K36" s="44">
        <f t="shared" si="10"/>
        <v>2593.4279999999999</v>
      </c>
      <c r="L36" s="59">
        <f t="shared" si="10"/>
        <v>2557.2279999999996</v>
      </c>
      <c r="M36" s="344">
        <f>M82*'Forecasted IS'!M$10</f>
        <v>2898.1158749366618</v>
      </c>
      <c r="N36" s="344">
        <f>N82*'Forecasted IS'!N$10</f>
        <v>3059.33148148706</v>
      </c>
      <c r="O36" s="344">
        <f>O82*'Forecasted IS'!O$10</f>
        <v>3249.6171268823909</v>
      </c>
      <c r="P36" s="344">
        <f>P82*'Forecasted IS'!P$10</f>
        <v>3420.8301272277326</v>
      </c>
      <c r="Q36" s="345">
        <f>Q82*'Forecasted IS'!Q$10</f>
        <v>3594.6649679552429</v>
      </c>
    </row>
    <row r="37" spans="6:36" ht="15.5">
      <c r="F37" s="103" t="s">
        <v>400</v>
      </c>
      <c r="G37" s="81">
        <f>'Balance sheet'!B69</f>
        <v>52.576999999999998</v>
      </c>
      <c r="H37" s="44">
        <f>'Balance sheet'!C69</f>
        <v>58.445999999999998</v>
      </c>
      <c r="I37" s="44">
        <f>'Balance sheet'!D69</f>
        <v>59.603000000000002</v>
      </c>
      <c r="J37" s="44">
        <f>'Balance sheet'!E69</f>
        <v>49.927</v>
      </c>
      <c r="K37" s="44">
        <f>'Balance sheet'!F69</f>
        <v>66.998000000000005</v>
      </c>
      <c r="L37" s="59">
        <f>'Balance sheet'!G69</f>
        <v>64.674000000000007</v>
      </c>
      <c r="M37" s="344">
        <f>M83*'Forecasted IS'!M$10</f>
        <v>67.774733759462038</v>
      </c>
      <c r="N37" s="344">
        <f>N83*'Forecasted IS'!N$10</f>
        <v>75.966629194689745</v>
      </c>
      <c r="O37" s="344">
        <f>O83*'Forecasted IS'!O$10</f>
        <v>79.625549170273686</v>
      </c>
      <c r="P37" s="344">
        <f>P83*'Forecasted IS'!P$10</f>
        <v>82.917512049312904</v>
      </c>
      <c r="Q37" s="345">
        <f>Q83*'Forecasted IS'!Q$10</f>
        <v>88.155776894823774</v>
      </c>
    </row>
    <row r="38" spans="6:36" ht="15.5">
      <c r="F38" s="103" t="s">
        <v>401</v>
      </c>
      <c r="G38" s="81">
        <v>33.670999999999999</v>
      </c>
      <c r="H38" s="44">
        <v>-39.417000000000002</v>
      </c>
      <c r="I38" s="44">
        <v>0</v>
      </c>
      <c r="J38" s="44">
        <v>0</v>
      </c>
      <c r="K38" s="44">
        <v>0</v>
      </c>
      <c r="L38" s="59">
        <v>0</v>
      </c>
      <c r="M38" s="344">
        <f>M84*'Forecasted IS'!M$10</f>
        <v>0</v>
      </c>
      <c r="N38" s="344">
        <f>N84*'Forecasted IS'!N$10</f>
        <v>0</v>
      </c>
      <c r="O38" s="344">
        <f>O84*'Forecasted IS'!O$10</f>
        <v>0</v>
      </c>
      <c r="P38" s="344">
        <f>P84*'Forecasted IS'!P$10</f>
        <v>0</v>
      </c>
      <c r="Q38" s="345">
        <f>Q84*'Forecasted IS'!Q$10</f>
        <v>0</v>
      </c>
    </row>
    <row r="39" spans="6:36" ht="15.5">
      <c r="F39" s="329"/>
      <c r="G39" s="330"/>
      <c r="H39" s="319"/>
      <c r="I39" s="319"/>
      <c r="J39" s="319"/>
      <c r="K39" s="319"/>
      <c r="L39" s="346"/>
      <c r="M39" s="352"/>
      <c r="N39" s="344"/>
      <c r="O39" s="344"/>
      <c r="P39" s="344"/>
      <c r="Q39" s="345"/>
    </row>
    <row r="40" spans="6:36" ht="15.5">
      <c r="F40" s="329"/>
      <c r="G40" s="330"/>
      <c r="H40" s="319"/>
      <c r="I40" s="319"/>
      <c r="J40" s="319"/>
      <c r="K40" s="319"/>
      <c r="L40" s="346"/>
      <c r="M40" s="352"/>
      <c r="N40" s="344"/>
      <c r="O40" s="344"/>
      <c r="P40" s="344"/>
      <c r="Q40" s="345"/>
    </row>
    <row r="41" spans="6:36" ht="15.5">
      <c r="F41" s="99" t="s">
        <v>402</v>
      </c>
      <c r="G41" s="78">
        <f t="shared" ref="G41:K41" si="11">SUM(G42:G46)</f>
        <v>490.24400000000009</v>
      </c>
      <c r="H41" s="42">
        <f t="shared" si="11"/>
        <v>491.28599999999994</v>
      </c>
      <c r="I41" s="42">
        <f t="shared" si="11"/>
        <v>1168.751</v>
      </c>
      <c r="J41" s="42">
        <f t="shared" si="11"/>
        <v>1185.3819999999998</v>
      </c>
      <c r="K41" s="42">
        <f t="shared" si="11"/>
        <v>1686.7940000000001</v>
      </c>
      <c r="L41" s="55">
        <f t="shared" ref="L41:Q41" si="12">SUM(L42:L46)</f>
        <v>2359.9010000000003</v>
      </c>
      <c r="M41" s="42">
        <f t="shared" si="12"/>
        <v>2315.8602679352598</v>
      </c>
      <c r="N41" s="42">
        <f t="shared" si="12"/>
        <v>2677.4721904349849</v>
      </c>
      <c r="O41" s="42">
        <f t="shared" si="12"/>
        <v>3009.7819665369798</v>
      </c>
      <c r="P41" s="42">
        <f t="shared" si="12"/>
        <v>3298.4741706570308</v>
      </c>
      <c r="Q41" s="267">
        <f t="shared" si="12"/>
        <v>3630.876448643191</v>
      </c>
    </row>
    <row r="42" spans="6:36" ht="15.5">
      <c r="F42" s="329" t="s">
        <v>403</v>
      </c>
      <c r="G42" s="355">
        <f>'Balance sheet'!B57</f>
        <v>312.35700000000003</v>
      </c>
      <c r="H42" s="352">
        <f>'Balance sheet'!C57</f>
        <v>337.90699999999998</v>
      </c>
      <c r="I42" s="352">
        <f>'Balance sheet'!D57</f>
        <v>342.81299999999999</v>
      </c>
      <c r="J42" s="352">
        <f>'Balance sheet'!E57</f>
        <v>333.791</v>
      </c>
      <c r="K42" s="352">
        <f>'Balance sheet'!F57</f>
        <v>392.65100000000001</v>
      </c>
      <c r="L42" s="346">
        <f>'Balance sheet'!G57</f>
        <v>426.35599999999999</v>
      </c>
      <c r="M42" s="352">
        <f>M87*'Forecasted IS'!M$10</f>
        <v>430.62404345521173</v>
      </c>
      <c r="N42" s="344">
        <f>N87*'Forecasted IS'!N$10</f>
        <v>476.07207591805934</v>
      </c>
      <c r="O42" s="344">
        <f>O87*'Forecasted IS'!O$10</f>
        <v>510.16025998087082</v>
      </c>
      <c r="P42" s="344">
        <f>P87*'Forecasted IS'!P$10</f>
        <v>525.87450532637251</v>
      </c>
      <c r="Q42" s="345">
        <f>Q87*'Forecasted IS'!Q$10</f>
        <v>558.77011806137284</v>
      </c>
    </row>
    <row r="43" spans="6:36" ht="15.5">
      <c r="F43" s="329" t="s">
        <v>404</v>
      </c>
      <c r="G43" s="355">
        <f>SUM('Balance sheet'!B54:B55)</f>
        <v>71.298000000000002</v>
      </c>
      <c r="H43" s="352">
        <f>SUM('Balance sheet'!C54:C55)</f>
        <v>24.393999999999998</v>
      </c>
      <c r="I43" s="352">
        <f>SUM('Balance sheet'!D54:D55)</f>
        <v>694.10400000000004</v>
      </c>
      <c r="J43" s="352">
        <f>SUM('Balance sheet'!E54:E55)</f>
        <v>708.846</v>
      </c>
      <c r="K43" s="352">
        <f>SUM('Balance sheet'!F54:F55)</f>
        <v>1151.0829999999999</v>
      </c>
      <c r="L43" s="346">
        <f>SUM('Balance sheet'!G54:G55)</f>
        <v>1705.154</v>
      </c>
      <c r="M43" s="352">
        <f>M88*'Forecasted IS'!M$32</f>
        <v>1724.7434672257516</v>
      </c>
      <c r="N43" s="401">
        <f>N88*'Forecasted IS'!N$32</f>
        <v>2037.6246238735048</v>
      </c>
      <c r="O43" s="401">
        <f>O88*'Forecasted IS'!O$32</f>
        <v>2320.6336088647449</v>
      </c>
      <c r="P43" s="401">
        <f>P88*'Forecasted IS'!P$32</f>
        <v>2568.6715300146866</v>
      </c>
      <c r="Q43" s="345">
        <f>Q88*'Forecasted IS'!Q$32</f>
        <v>2855.9291093292932</v>
      </c>
    </row>
    <row r="44" spans="6:36" ht="15.5">
      <c r="F44" s="329" t="s">
        <v>405</v>
      </c>
      <c r="G44" s="355">
        <f>'Balance sheet'!B59+'Balance sheet'!B56-G46</f>
        <v>24.655000000000001</v>
      </c>
      <c r="H44" s="352">
        <f>'Balance sheet'!C59+'Balance sheet'!C56-H46</f>
        <v>41.652000000000001</v>
      </c>
      <c r="I44" s="352">
        <f>'Balance sheet'!D59+'Balance sheet'!D56-I46</f>
        <v>40.441000000000017</v>
      </c>
      <c r="J44" s="352">
        <f>'Balance sheet'!E59+'Balance sheet'!E56-J46</f>
        <v>24.39200000000001</v>
      </c>
      <c r="K44" s="352">
        <f>'Balance sheet'!F59+'Balance sheet'!F56-K46</f>
        <v>24.111999999999995</v>
      </c>
      <c r="L44" s="346">
        <f>'Balance sheet'!G59+'Balance sheet'!G56-L46</f>
        <v>23.505000000000024</v>
      </c>
      <c r="M44" s="352">
        <f>L44*(1+$M$89)</f>
        <v>22.913280731585985</v>
      </c>
      <c r="N44" s="352">
        <f>M44*(1+$M$89)</f>
        <v>22.336457514761499</v>
      </c>
      <c r="O44" s="352">
        <f>N44*(1+$M$89)</f>
        <v>21.774155353536401</v>
      </c>
      <c r="P44" s="352">
        <f>O44*(1+$M$89)</f>
        <v>21.226008692139754</v>
      </c>
      <c r="Q44" s="354">
        <f>P44*(1+$M$89)</f>
        <v>20.691661177370005</v>
      </c>
      <c r="Y44" s="319"/>
      <c r="Z44" s="319"/>
      <c r="AA44" s="319"/>
      <c r="AB44" s="319"/>
      <c r="AC44" s="319"/>
      <c r="AD44" s="319"/>
      <c r="AE44" s="319"/>
      <c r="AF44" s="357"/>
      <c r="AG44" s="358"/>
      <c r="AH44" s="357"/>
      <c r="AI44" s="357"/>
      <c r="AJ44" s="357"/>
    </row>
    <row r="45" spans="6:36" ht="15.5">
      <c r="F45" s="329" t="s">
        <v>406</v>
      </c>
      <c r="G45" s="355">
        <f>'Balance sheet'!B58</f>
        <v>6.2350000000000003</v>
      </c>
      <c r="H45" s="352">
        <f>'Balance sheet'!C58</f>
        <v>6.9240000000000004</v>
      </c>
      <c r="I45" s="352">
        <f>'Balance sheet'!D58</f>
        <v>3.54</v>
      </c>
      <c r="J45" s="352">
        <f>'Balance sheet'!E58</f>
        <v>6.2249999999999996</v>
      </c>
      <c r="K45" s="352">
        <f>'Balance sheet'!F58</f>
        <v>11.461</v>
      </c>
      <c r="L45" s="346">
        <f>'Balance sheet'!G58</f>
        <v>22.846</v>
      </c>
      <c r="M45" s="352">
        <f>M90*'Forecasted IS'!M$10</f>
        <v>15.193111879817904</v>
      </c>
      <c r="N45" s="344">
        <f>N90*'Forecasted IS'!N$10</f>
        <v>19.008697660637633</v>
      </c>
      <c r="O45" s="344">
        <f>O90*'Forecasted IS'!O$10</f>
        <v>22.098639095406227</v>
      </c>
      <c r="P45" s="344">
        <f>P90*'Forecasted IS'!P$10</f>
        <v>20.816116690771739</v>
      </c>
      <c r="Q45" s="345">
        <f>Q90*'Forecasted IS'!Q$10</f>
        <v>22.88597388657211</v>
      </c>
      <c r="Z45" s="262"/>
      <c r="AA45" s="262"/>
      <c r="AB45" s="262"/>
      <c r="AC45" s="262"/>
      <c r="AD45" s="262"/>
      <c r="AE45" s="262"/>
      <c r="AF45" s="263"/>
    </row>
    <row r="46" spans="6:36" ht="15.5">
      <c r="F46" s="329" t="s">
        <v>407</v>
      </c>
      <c r="G46" s="355">
        <v>75.698999999999998</v>
      </c>
      <c r="H46" s="352">
        <v>80.409000000000006</v>
      </c>
      <c r="I46" s="352">
        <v>87.852999999999994</v>
      </c>
      <c r="J46" s="352">
        <v>112.128</v>
      </c>
      <c r="K46" s="352">
        <v>107.48699999999999</v>
      </c>
      <c r="L46" s="346">
        <v>182.04</v>
      </c>
      <c r="M46" s="352">
        <f>M91*'Forecasted IS'!M$32</f>
        <v>122.38636464289253</v>
      </c>
      <c r="N46" s="401">
        <f>N91*'Forecasted IS'!N$32</f>
        <v>122.43033546802127</v>
      </c>
      <c r="O46" s="401">
        <f>O91*'Forecasted IS'!O$32</f>
        <v>135.11530324242136</v>
      </c>
      <c r="P46" s="401">
        <f>P91*'Forecasted IS'!P$32</f>
        <v>161.88600993306056</v>
      </c>
      <c r="Q46" s="345">
        <f>Q91*'Forecasted IS'!Q$32</f>
        <v>172.59958618858246</v>
      </c>
      <c r="Z46" s="226"/>
      <c r="AA46" s="226"/>
      <c r="AB46" s="226"/>
      <c r="AC46" s="226"/>
      <c r="AD46" s="226"/>
      <c r="AE46" s="226"/>
    </row>
    <row r="47" spans="6:36" ht="15.5">
      <c r="F47" s="329"/>
      <c r="G47" s="330"/>
      <c r="H47" s="319"/>
      <c r="I47" s="319"/>
      <c r="J47" s="319"/>
      <c r="K47" s="319"/>
      <c r="L47" s="346"/>
      <c r="M47" s="352"/>
      <c r="N47" s="344"/>
      <c r="O47" s="344"/>
      <c r="P47" s="344"/>
      <c r="Q47" s="345"/>
      <c r="Z47" s="226"/>
      <c r="AA47" s="226"/>
      <c r="AB47" s="226"/>
      <c r="AC47" s="226"/>
      <c r="AD47" s="226"/>
      <c r="AE47" s="226"/>
      <c r="AF47" s="263"/>
      <c r="AG47" s="263"/>
      <c r="AH47" s="263"/>
      <c r="AI47" s="263"/>
      <c r="AJ47" s="263"/>
    </row>
    <row r="48" spans="6:36" ht="15.5">
      <c r="F48" s="99" t="s">
        <v>408</v>
      </c>
      <c r="G48" s="78">
        <f t="shared" ref="G48:K48" si="13">SUM(G49:G52)</f>
        <v>1525.6690000000001</v>
      </c>
      <c r="H48" s="42">
        <f t="shared" si="13"/>
        <v>1661.5129999999997</v>
      </c>
      <c r="I48" s="42">
        <f t="shared" si="13"/>
        <v>2084.2739999999999</v>
      </c>
      <c r="J48" s="42">
        <f t="shared" si="13"/>
        <v>2208.5929999999998</v>
      </c>
      <c r="K48" s="42">
        <f t="shared" si="13"/>
        <v>2676.1240000000003</v>
      </c>
      <c r="L48" s="55">
        <f t="shared" ref="L48:Q48" si="14">SUM(L49:L52)</f>
        <v>3359.136</v>
      </c>
      <c r="M48" s="42">
        <f t="shared" si="14"/>
        <v>3991.5068934573592</v>
      </c>
      <c r="N48" s="42">
        <f t="shared" si="14"/>
        <v>4710.7741209092483</v>
      </c>
      <c r="O48" s="42">
        <f t="shared" si="14"/>
        <v>5585.7350356677816</v>
      </c>
      <c r="P48" s="42">
        <f t="shared" si="14"/>
        <v>6647.6231660028325</v>
      </c>
      <c r="Q48" s="267">
        <f t="shared" si="14"/>
        <v>7849.8959807488927</v>
      </c>
    </row>
    <row r="49" spans="6:30" ht="15.5">
      <c r="F49" s="329" t="s">
        <v>404</v>
      </c>
      <c r="G49" s="355">
        <f>'Balance sheet'!B48+'Balance sheet'!B47</f>
        <v>338.87100000000004</v>
      </c>
      <c r="H49" s="352">
        <f>'Balance sheet'!C48+'Balance sheet'!C47</f>
        <v>400.78599999999994</v>
      </c>
      <c r="I49" s="352">
        <f>'Balance sheet'!D48+'Balance sheet'!D47</f>
        <v>313.86800000000005</v>
      </c>
      <c r="J49" s="352">
        <f>'Balance sheet'!E48+'Balance sheet'!E47</f>
        <v>436.76</v>
      </c>
      <c r="K49" s="352">
        <f>'Balance sheet'!F48+'Balance sheet'!F47</f>
        <v>564.06299999999999</v>
      </c>
      <c r="L49" s="346">
        <f>'Balance sheet'!G48+'Balance sheet'!G47</f>
        <v>719.17700000000002</v>
      </c>
      <c r="M49" s="352">
        <f>M94*'Forecasted IS'!M$32</f>
        <v>871.15806610748405</v>
      </c>
      <c r="N49" s="401">
        <f>N94*'Forecasted IS'!N$32</f>
        <v>960.515252316952</v>
      </c>
      <c r="O49" s="401">
        <f>O94*'Forecasted IS'!O$32</f>
        <v>1079.7446101827004</v>
      </c>
      <c r="P49" s="401">
        <f>P94*'Forecasted IS'!P$32</f>
        <v>1233.9450318899801</v>
      </c>
      <c r="Q49" s="345">
        <f>Q94*'Forecasted IS'!Q$32</f>
        <v>1348.9257954324778</v>
      </c>
    </row>
    <row r="50" spans="6:30" ht="15.5">
      <c r="F50" s="329" t="s">
        <v>405</v>
      </c>
      <c r="G50" s="355">
        <f>'Balance sheet'!B46+'Balance sheet'!B45+'Balance sheet'!B50+'Balance sheet'!B51-G52-G54</f>
        <v>1095.3710000000001</v>
      </c>
      <c r="H50" s="352">
        <f>'Balance sheet'!C46+'Balance sheet'!C45+'Balance sheet'!C50+'Balance sheet'!C51-H52-H54</f>
        <v>1161.3709999999999</v>
      </c>
      <c r="I50" s="352">
        <f>'Balance sheet'!D46+'Balance sheet'!D45+'Balance sheet'!D50+'Balance sheet'!D51-I52</f>
        <v>1639.8169999999998</v>
      </c>
      <c r="J50" s="352">
        <f>'Balance sheet'!E46+'Balance sheet'!E45+'Balance sheet'!E50+'Balance sheet'!E51-J52-J54</f>
        <v>1589.3600000000001</v>
      </c>
      <c r="K50" s="352">
        <f>'Balance sheet'!F46+'Balance sheet'!F45+'Balance sheet'!F50+'Balance sheet'!F51-K52-K54</f>
        <v>1916.3480000000002</v>
      </c>
      <c r="L50" s="346">
        <f>'Balance sheet'!G46+'Balance sheet'!G45+'Balance sheet'!G50+'Balance sheet'!G51-L52</f>
        <v>2418.9290000000001</v>
      </c>
      <c r="M50" s="352">
        <f>L50*(1+$M$95)</f>
        <v>2916.5889108144161</v>
      </c>
      <c r="N50" s="352">
        <f>M50*(1+$M$95)</f>
        <v>3516.6352028875676</v>
      </c>
      <c r="O50" s="352">
        <f>N50*(1+$M$95)</f>
        <v>4240.132404101767</v>
      </c>
      <c r="P50" s="352">
        <f>O50*(1+$M$95)</f>
        <v>5112.4787665070298</v>
      </c>
      <c r="Q50" s="354">
        <f>P50*(1+$M$95)</f>
        <v>6164.2978678450527</v>
      </c>
    </row>
    <row r="51" spans="6:30" ht="15.5">
      <c r="F51" s="329" t="s">
        <v>409</v>
      </c>
      <c r="G51" s="355">
        <f>'Balance sheet'!B49</f>
        <v>54.889000000000003</v>
      </c>
      <c r="H51" s="352">
        <f>'Balance sheet'!C49-I54</f>
        <v>57.665999999999997</v>
      </c>
      <c r="I51" s="352">
        <f>'Balance sheet'!D49</f>
        <v>62.83</v>
      </c>
      <c r="J51" s="352">
        <f>'Balance sheet'!E49</f>
        <v>74.5</v>
      </c>
      <c r="K51" s="352">
        <f>'Balance sheet'!F49</f>
        <v>131.483</v>
      </c>
      <c r="L51" s="346">
        <f>'Balance sheet'!G49</f>
        <v>160.73400000000001</v>
      </c>
      <c r="M51" s="352">
        <f>M96*'Forecasted IS'!M$33</f>
        <v>134.96194620320227</v>
      </c>
      <c r="N51" s="352">
        <f>N96*'Forecasted IS'!N$33</f>
        <v>155.12491418160798</v>
      </c>
      <c r="O51" s="352">
        <f>O96*'Forecasted IS'!O$33</f>
        <v>176.2906408206421</v>
      </c>
      <c r="P51" s="352">
        <f>P96*'Forecasted IS'!P$33</f>
        <v>199.00263829229183</v>
      </c>
      <c r="Q51" s="354">
        <f>Q96*'Forecasted IS'!Q$33</f>
        <v>220.0654521508439</v>
      </c>
    </row>
    <row r="52" spans="6:30" ht="15.5">
      <c r="F52" s="329" t="s">
        <v>410</v>
      </c>
      <c r="G52" s="355">
        <v>36.537999999999997</v>
      </c>
      <c r="H52" s="352">
        <v>41.69</v>
      </c>
      <c r="I52" s="352">
        <v>67.759</v>
      </c>
      <c r="J52" s="352">
        <v>107.973</v>
      </c>
      <c r="K52" s="352">
        <v>64.23</v>
      </c>
      <c r="L52" s="346">
        <v>60.295999999999999</v>
      </c>
      <c r="M52" s="352">
        <f>L52*(1+$M$97)</f>
        <v>68.797970332256824</v>
      </c>
      <c r="N52" s="352">
        <f>M52*(1+$M$97)</f>
        <v>78.498751523120774</v>
      </c>
      <c r="O52" s="352">
        <f>N52*(1+$M$97)</f>
        <v>89.567380562671872</v>
      </c>
      <c r="P52" s="352">
        <f>O52*(1+$M$97)</f>
        <v>102.19672931353085</v>
      </c>
      <c r="Q52" s="354">
        <f>P52*(1+$M$97)</f>
        <v>116.60686532051839</v>
      </c>
    </row>
    <row r="53" spans="6:30" ht="15.5">
      <c r="F53" s="329"/>
      <c r="G53" s="330"/>
      <c r="H53" s="319"/>
      <c r="I53" s="319"/>
      <c r="J53" s="319"/>
      <c r="K53" s="319"/>
      <c r="L53" s="346"/>
      <c r="M53" s="352"/>
      <c r="N53" s="344"/>
      <c r="O53" s="344"/>
      <c r="P53" s="344"/>
      <c r="Q53" s="345"/>
    </row>
    <row r="54" spans="6:30" ht="16" thickBot="1">
      <c r="F54" s="104" t="s">
        <v>411</v>
      </c>
      <c r="G54" s="105">
        <v>229.19300000000001</v>
      </c>
      <c r="H54" s="106">
        <v>144.90799999999999</v>
      </c>
      <c r="I54" s="106">
        <v>0</v>
      </c>
      <c r="J54" s="106">
        <v>0</v>
      </c>
      <c r="K54" s="106">
        <v>0</v>
      </c>
      <c r="L54" s="107">
        <v>0</v>
      </c>
      <c r="M54" s="106">
        <v>0</v>
      </c>
      <c r="N54" s="106">
        <v>0</v>
      </c>
      <c r="O54" s="106">
        <v>0</v>
      </c>
      <c r="P54" s="106">
        <v>0</v>
      </c>
      <c r="Q54" s="268">
        <v>0</v>
      </c>
    </row>
    <row r="55" spans="6:30" ht="15" thickBot="1">
      <c r="G55" s="124"/>
    </row>
    <row r="56" spans="6:30" ht="19.5">
      <c r="F56" s="651" t="s">
        <v>365</v>
      </c>
      <c r="G56" s="652"/>
      <c r="H56" s="652"/>
      <c r="I56" s="652"/>
      <c r="J56" s="652"/>
      <c r="K56" s="652"/>
      <c r="L56" s="652"/>
      <c r="M56" s="652"/>
      <c r="N56" s="652"/>
      <c r="O56" s="652"/>
      <c r="P56" s="652"/>
      <c r="Q56" s="653"/>
      <c r="S56" s="486" t="s">
        <v>412</v>
      </c>
      <c r="T56" s="487" t="s">
        <v>342</v>
      </c>
    </row>
    <row r="57" spans="6:30" ht="19.5">
      <c r="F57" s="118" t="s">
        <v>413</v>
      </c>
      <c r="G57" s="85">
        <v>2015</v>
      </c>
      <c r="H57" s="85">
        <v>2016</v>
      </c>
      <c r="I57" s="85">
        <v>2017</v>
      </c>
      <c r="J57" s="85">
        <v>2018</v>
      </c>
      <c r="K57" s="85">
        <v>2019</v>
      </c>
      <c r="L57" s="120">
        <f>2020</f>
        <v>2020</v>
      </c>
      <c r="M57" s="119">
        <v>2021</v>
      </c>
      <c r="N57" s="86">
        <v>2022</v>
      </c>
      <c r="O57" s="86">
        <v>2023</v>
      </c>
      <c r="P57" s="86">
        <v>2024</v>
      </c>
      <c r="Q57" s="89">
        <v>2025</v>
      </c>
      <c r="S57" s="492"/>
      <c r="T57" s="484"/>
    </row>
    <row r="58" spans="6:30" ht="15.5">
      <c r="F58" s="99" t="s">
        <v>379</v>
      </c>
      <c r="G58" s="82"/>
      <c r="H58" s="62"/>
      <c r="I58" s="62"/>
      <c r="J58" s="62"/>
      <c r="K58" s="62"/>
      <c r="L58" s="63"/>
      <c r="M58" s="62"/>
      <c r="N58" s="62"/>
      <c r="O58" s="62"/>
      <c r="P58" s="62"/>
      <c r="Q58" s="113"/>
      <c r="S58" s="210"/>
      <c r="T58" s="484"/>
    </row>
    <row r="59" spans="6:30" ht="15.5">
      <c r="F59" s="329" t="s">
        <v>414</v>
      </c>
      <c r="G59" s="359">
        <f>('Balance sheet'!B36+'Balance sheet'!B37+'Balance sheet'!B40)/'Forecasted IS'!G10</f>
        <v>0.10773314598448641</v>
      </c>
      <c r="H59" s="360">
        <f>('Balance sheet'!C36+'Balance sheet'!C37+'Balance sheet'!C40)/'Forecasted IS'!H10</f>
        <v>0.12677336986983867</v>
      </c>
      <c r="I59" s="360">
        <f>('Balance sheet'!D36+'Balance sheet'!D37+'Balance sheet'!D40)/'Forecasted IS'!I10</f>
        <v>0.11782783507371228</v>
      </c>
      <c r="J59" s="360">
        <f>('Balance sheet'!E36+'Balance sheet'!E37+'Balance sheet'!E40)/'Forecasted IS'!J10</f>
        <v>0.10314601381579551</v>
      </c>
      <c r="K59" s="360">
        <f>('Balance sheet'!F36+'Balance sheet'!F37+'Balance sheet'!F40)/'Forecasted IS'!K10</f>
        <v>0.11036376454357352</v>
      </c>
      <c r="L59" s="361">
        <f>('Balance sheet'!G36+'Balance sheet'!G37+'Balance sheet'!G40)/'Forecasted IS'!L10</f>
        <v>0.10711477951007731</v>
      </c>
      <c r="M59" s="60">
        <f>AVERAGE(J59:L59)</f>
        <v>0.10687485262314877</v>
      </c>
      <c r="N59" s="60">
        <f>AVERAGE(K59:M59)</f>
        <v>0.10811779889226654</v>
      </c>
      <c r="O59" s="60">
        <f>AVERAGE(L59:N59)</f>
        <v>0.1073691436751642</v>
      </c>
      <c r="P59" s="60">
        <f t="shared" ref="M59:Q66" si="15">AVERAGE(M59:O59)</f>
        <v>0.10745393173019317</v>
      </c>
      <c r="Q59" s="114">
        <f t="shared" si="15"/>
        <v>0.10764695809920798</v>
      </c>
      <c r="R59" s="60"/>
      <c r="S59" s="216" t="s">
        <v>415</v>
      </c>
      <c r="T59" s="493" t="s">
        <v>416</v>
      </c>
      <c r="U59" s="60"/>
      <c r="V59" s="60"/>
      <c r="W59" s="60"/>
    </row>
    <row r="60" spans="6:30" ht="15.5">
      <c r="F60" s="329" t="s">
        <v>417</v>
      </c>
      <c r="G60" s="359">
        <f>'Balance sheet'!B33/'Forecasted IS'!G10</f>
        <v>0.43753329342757258</v>
      </c>
      <c r="H60" s="360">
        <f>'Balance sheet'!C33/'Forecasted IS'!H10</f>
        <v>0.44441801083639532</v>
      </c>
      <c r="I60" s="360">
        <f>'Balance sheet'!D33/'Forecasted IS'!I10</f>
        <v>0.46635860645457222</v>
      </c>
      <c r="J60" s="360">
        <f>'Balance sheet'!E33/'Forecasted IS'!J10</f>
        <v>0.48984976316215978</v>
      </c>
      <c r="K60" s="360">
        <f>'Balance sheet'!F33/'Forecasted IS'!K10</f>
        <v>0.62335250702832135</v>
      </c>
      <c r="L60" s="362">
        <f>'Balance sheet'!G33/'Forecasted IS'!L10</f>
        <v>0.66811210231992268</v>
      </c>
      <c r="M60" s="60">
        <f>AVERAGE(J60:L60)</f>
        <v>0.59377145750346794</v>
      </c>
      <c r="N60" s="60">
        <f t="shared" si="15"/>
        <v>0.62841202228390403</v>
      </c>
      <c r="O60" s="60">
        <f t="shared" si="15"/>
        <v>0.63009852736909822</v>
      </c>
      <c r="P60" s="60">
        <f t="shared" si="15"/>
        <v>0.61742733571882336</v>
      </c>
      <c r="Q60" s="114">
        <f t="shared" si="15"/>
        <v>0.6253126284572752</v>
      </c>
      <c r="S60" s="216" t="s">
        <v>415</v>
      </c>
      <c r="T60" s="493" t="s">
        <v>416</v>
      </c>
    </row>
    <row r="61" spans="6:30" ht="15.5">
      <c r="F61" s="329" t="s">
        <v>418</v>
      </c>
      <c r="G61" s="359">
        <f>'Balance sheet'!B85/'Forecasted IS'!G10</f>
        <v>8.1210077302792741E-2</v>
      </c>
      <c r="H61" s="360">
        <f>'Balance sheet'!C85/'Forecasted IS'!H10</f>
        <v>8.1099416661476811E-2</v>
      </c>
      <c r="I61" s="360">
        <f>'Balance sheet'!D85/'Forecasted IS'!I10</f>
        <v>5.4830178672534029E-2</v>
      </c>
      <c r="J61" s="360">
        <f>'Balance sheet'!E85/'Forecasted IS'!J10</f>
        <v>4.6288725050991235E-2</v>
      </c>
      <c r="K61" s="360">
        <f>'Balance sheet'!F85/'Forecasted IS'!K10</f>
        <v>4.4829485649190121E-2</v>
      </c>
      <c r="L61" s="362">
        <f>'Balance sheet'!G85/'Forecasted IS'!L10</f>
        <v>4.318057601274676E-2</v>
      </c>
      <c r="M61" s="60">
        <f t="shared" si="15"/>
        <v>4.4766262237642705E-2</v>
      </c>
      <c r="N61" s="60">
        <f t="shared" si="15"/>
        <v>4.4258774633193193E-2</v>
      </c>
      <c r="O61" s="60">
        <f t="shared" si="15"/>
        <v>4.4068537627860886E-2</v>
      </c>
      <c r="P61" s="60">
        <f t="shared" si="15"/>
        <v>4.4364524832898933E-2</v>
      </c>
      <c r="Q61" s="114">
        <f t="shared" si="15"/>
        <v>4.4230612364651006E-2</v>
      </c>
      <c r="S61" s="216" t="s">
        <v>415</v>
      </c>
      <c r="T61" s="493" t="s">
        <v>416</v>
      </c>
      <c r="U61" s="363"/>
      <c r="V61" s="363"/>
      <c r="W61" s="363"/>
      <c r="X61" s="360"/>
      <c r="Y61" s="60"/>
      <c r="Z61" s="60"/>
      <c r="AA61" s="60"/>
      <c r="AB61" s="60"/>
      <c r="AC61" s="60"/>
      <c r="AD61" s="60"/>
    </row>
    <row r="62" spans="6:30" ht="15.5">
      <c r="F62" s="329" t="s">
        <v>419</v>
      </c>
      <c r="G62" s="359">
        <f>('Balance sheet'!B35-'Balance sheet'!B85-G12)/'Forecasted IS'!G10</f>
        <v>1.2509129619416286E-2</v>
      </c>
      <c r="H62" s="360">
        <f>('Balance sheet'!C35-'Balance sheet'!C85-H12)/'Forecasted IS'!H10</f>
        <v>1.0966764235743503E-2</v>
      </c>
      <c r="I62" s="360">
        <f>('Balance sheet'!D35-'Balance sheet'!D85-I12)/'Forecasted IS'!I10</f>
        <v>8.0022790961018827E-3</v>
      </c>
      <c r="J62" s="360">
        <f>('Balance sheet'!E35-'Balance sheet'!E85-J12)/'Forecasted IS'!J10</f>
        <v>-2.7160007574533593E-18</v>
      </c>
      <c r="K62" s="360">
        <f>('Balance sheet'!F35-'Balance sheet'!F85-K12)/'Forecasted IS'!K10</f>
        <v>-2.6431262011834103E-18</v>
      </c>
      <c r="L62" s="362">
        <f>('Balance sheet'!G35-'Balance sheet'!G85-L12)/'Forecasted IS'!L10</f>
        <v>1.0970346116531885E-18</v>
      </c>
      <c r="M62" s="60">
        <f t="shared" si="15"/>
        <v>-1.4206974489945272E-18</v>
      </c>
      <c r="N62" s="60">
        <f t="shared" si="15"/>
        <v>-9.8892967950824974E-19</v>
      </c>
      <c r="O62" s="60">
        <f>AVERAGE(L62:N62)</f>
        <v>-4.3753083894986285E-19</v>
      </c>
      <c r="P62" s="60">
        <f t="shared" si="15"/>
        <v>-9.4905265581754656E-19</v>
      </c>
      <c r="Q62" s="114">
        <f t="shared" si="15"/>
        <v>-7.9183772475855305E-19</v>
      </c>
      <c r="S62" s="216" t="s">
        <v>415</v>
      </c>
      <c r="T62" s="493" t="s">
        <v>416</v>
      </c>
    </row>
    <row r="63" spans="6:30" ht="15.5">
      <c r="F63" s="329" t="s">
        <v>420</v>
      </c>
      <c r="G63" s="359">
        <v>0</v>
      </c>
      <c r="H63" s="360">
        <v>0</v>
      </c>
      <c r="I63" s="360">
        <v>0</v>
      </c>
      <c r="J63" s="115">
        <f>8.028/'Forecasted IS'!J10</f>
        <v>2.4549182458404304E-3</v>
      </c>
      <c r="K63" s="115">
        <f>10.897/'Forecasted IS'!K10</f>
        <v>3.2428333739543077E-3</v>
      </c>
      <c r="L63" s="362">
        <f>8.352/'Forecasted IS'!L10</f>
        <v>2.5789956368285024E-3</v>
      </c>
      <c r="M63" s="60">
        <f>AVERAGE($G63:$L63)</f>
        <v>1.3794578761038734E-3</v>
      </c>
      <c r="N63" s="60">
        <f t="shared" ref="N63:Q63" si="16">AVERAGE($G63:$L63)</f>
        <v>1.3794578761038734E-3</v>
      </c>
      <c r="O63" s="60">
        <f>AVERAGE($G63:$L63)</f>
        <v>1.3794578761038734E-3</v>
      </c>
      <c r="P63" s="60">
        <f t="shared" si="16"/>
        <v>1.3794578761038734E-3</v>
      </c>
      <c r="Q63" s="114">
        <f t="shared" si="16"/>
        <v>1.3794578761038734E-3</v>
      </c>
      <c r="S63" s="216" t="s">
        <v>421</v>
      </c>
      <c r="T63" s="484" t="s">
        <v>422</v>
      </c>
    </row>
    <row r="64" spans="6:30" ht="15.5">
      <c r="F64" s="329" t="s">
        <v>423</v>
      </c>
      <c r="G64" s="330">
        <f>'Balance sheet'!B38/'Forecasted IS'!G32</f>
        <v>3.7399218370964167E-3</v>
      </c>
      <c r="H64" s="319">
        <f>'Balance sheet'!C38/'Forecasted IS'!H32</f>
        <v>2.8246860153346817E-3</v>
      </c>
      <c r="I64" s="319">
        <f>'Balance sheet'!D38/'Forecasted IS'!I32</f>
        <v>1.1195747500922644E-2</v>
      </c>
      <c r="J64" s="319">
        <f>'Balance sheet'!E38/'Forecasted IS'!J32</f>
        <v>2.2931094983790236E-3</v>
      </c>
      <c r="K64" s="319">
        <f>'Balance sheet'!F38/'Forecasted IS'!K32</f>
        <v>1.278025310964781E-3</v>
      </c>
      <c r="L64" s="364">
        <f>'Balance sheet'!G38/'Forecasted IS'!L32</f>
        <v>1.3414009885613803E-3</v>
      </c>
      <c r="M64" s="60">
        <f t="shared" si="15"/>
        <v>1.6375119326350618E-3</v>
      </c>
      <c r="N64" s="60">
        <f t="shared" si="15"/>
        <v>1.4189794107204075E-3</v>
      </c>
      <c r="O64" s="60">
        <f t="shared" si="15"/>
        <v>1.4659641106389498E-3</v>
      </c>
      <c r="P64" s="60">
        <f t="shared" si="15"/>
        <v>1.507485151331473E-3</v>
      </c>
      <c r="Q64" s="114">
        <f t="shared" si="15"/>
        <v>1.4641428908969435E-3</v>
      </c>
      <c r="S64" s="216" t="s">
        <v>415</v>
      </c>
      <c r="T64" s="493" t="s">
        <v>416</v>
      </c>
    </row>
    <row r="65" spans="6:24" ht="15.5">
      <c r="F65" s="329" t="s">
        <v>424</v>
      </c>
      <c r="G65" s="330"/>
      <c r="H65">
        <f>(H14-G14)/G14</f>
        <v>-0.26836492890995262</v>
      </c>
      <c r="I65">
        <f>(I14-H14)/H14</f>
        <v>0.27278452541610437</v>
      </c>
      <c r="J65">
        <f>(J14-I14)/I14</f>
        <v>-0.14215027921114023</v>
      </c>
      <c r="K65">
        <f>(K14-J14)/J14</f>
        <v>-7.9927488464073444E-3</v>
      </c>
      <c r="L65" s="69">
        <f>(L14-K14)/K14</f>
        <v>-2.2842428773153945E-2</v>
      </c>
      <c r="M65">
        <f>MEDIAN($H$65:$L$65)</f>
        <v>-2.2842428773153945E-2</v>
      </c>
      <c r="N65">
        <f t="shared" ref="N65:Q65" si="17">MEDIAN($H$65:$L$65)</f>
        <v>-2.2842428773153945E-2</v>
      </c>
      <c r="O65">
        <f t="shared" si="17"/>
        <v>-2.2842428773153945E-2</v>
      </c>
      <c r="P65">
        <f t="shared" si="17"/>
        <v>-2.2842428773153945E-2</v>
      </c>
      <c r="Q65" s="148">
        <f t="shared" si="17"/>
        <v>-2.2842428773153945E-2</v>
      </c>
      <c r="S65" s="216" t="s">
        <v>425</v>
      </c>
      <c r="T65" s="484" t="s">
        <v>426</v>
      </c>
    </row>
    <row r="66" spans="6:24" ht="15.5">
      <c r="F66" s="329" t="s">
        <v>427</v>
      </c>
      <c r="G66" s="330">
        <f>'Balance sheet'!B39/'Forecasted IS'!G10</f>
        <v>4.4522592037474336E-2</v>
      </c>
      <c r="H66" s="319">
        <f>'Balance sheet'!C39/'Forecasted IS'!H10</f>
        <v>4.8828133109132046E-2</v>
      </c>
      <c r="I66" s="319">
        <f>'Balance sheet'!D39/'Forecasted IS'!I10</f>
        <v>4.1097549613342034E-2</v>
      </c>
      <c r="J66" s="319">
        <f>'Balance sheet'!E39/'Forecasted IS'!J10</f>
        <v>4.0626328294859286E-2</v>
      </c>
      <c r="K66" s="319">
        <f>'Balance sheet'!F39/'Forecasted IS'!K10</f>
        <v>5.0270910650819421E-2</v>
      </c>
      <c r="L66" s="364">
        <f>'Balance sheet'!G39/'Forecasted IS'!L10</f>
        <v>6.8531744928932492E-2</v>
      </c>
      <c r="M66" s="60">
        <f t="shared" si="15"/>
        <v>5.3142994624870397E-2</v>
      </c>
      <c r="N66" s="60">
        <f t="shared" si="15"/>
        <v>5.7315216734874108E-2</v>
      </c>
      <c r="O66" s="60">
        <f t="shared" si="15"/>
        <v>5.9663318762892333E-2</v>
      </c>
      <c r="P66" s="60">
        <f t="shared" si="15"/>
        <v>5.670717670754561E-2</v>
      </c>
      <c r="Q66" s="114">
        <f t="shared" si="15"/>
        <v>5.7895237401770681E-2</v>
      </c>
      <c r="S66" s="216" t="s">
        <v>415</v>
      </c>
      <c r="T66" s="493" t="s">
        <v>416</v>
      </c>
    </row>
    <row r="67" spans="6:24" ht="15.5">
      <c r="F67" s="329"/>
      <c r="G67" s="365"/>
      <c r="H67" s="366"/>
      <c r="I67" s="366"/>
      <c r="J67" s="366"/>
      <c r="K67" s="366"/>
      <c r="L67" s="367"/>
      <c r="M67" s="366"/>
      <c r="N67" s="366"/>
      <c r="O67" s="366"/>
      <c r="P67" s="366"/>
      <c r="Q67" s="368"/>
      <c r="S67" s="216"/>
      <c r="T67" s="484"/>
    </row>
    <row r="68" spans="6:24" ht="15.5">
      <c r="F68" s="99" t="s">
        <v>388</v>
      </c>
      <c r="G68" s="82"/>
      <c r="H68" s="62"/>
      <c r="I68" s="62"/>
      <c r="J68" s="62"/>
      <c r="K68" s="62"/>
      <c r="L68" s="63"/>
      <c r="M68" s="62"/>
      <c r="N68" s="62"/>
      <c r="O68" s="62"/>
      <c r="P68" s="62"/>
      <c r="Q68" s="113"/>
      <c r="S68" s="216"/>
      <c r="T68" s="484"/>
    </row>
    <row r="69" spans="6:24" ht="15.5">
      <c r="F69" s="329" t="s">
        <v>423</v>
      </c>
      <c r="G69" s="369">
        <f>'Balance sheet'!B24/'Forecasted IS'!G32</f>
        <v>6.4705036216778939E-3</v>
      </c>
      <c r="H69" s="370">
        <f>'Balance sheet'!C24/'Forecasted IS'!H32</f>
        <v>3.4778211580977471E-2</v>
      </c>
      <c r="I69" s="370">
        <f>'Balance sheet'!D24/'Forecasted IS'!I32</f>
        <v>1.7361593377593822E-3</v>
      </c>
      <c r="J69" s="370">
        <f>'Balance sheet'!E24/'Forecasted IS'!J32</f>
        <v>5.4730858602346699E-3</v>
      </c>
      <c r="K69" s="370">
        <f>'Balance sheet'!F24/'Forecasted IS'!K32</f>
        <v>1.166081488106552E-6</v>
      </c>
      <c r="L69" s="371">
        <f>'Balance sheet'!G24/'Forecasted IS'!L32</f>
        <v>3.2998794306553025E-5</v>
      </c>
      <c r="M69" s="372">
        <f t="shared" ref="M69:Q73" si="18">AVERAGE(J69:L69)</f>
        <v>1.8357502453431099E-3</v>
      </c>
      <c r="N69" s="372">
        <f t="shared" si="18"/>
        <v>6.2330504037925647E-4</v>
      </c>
      <c r="O69" s="372">
        <f t="shared" si="18"/>
        <v>8.3068469334297314E-4</v>
      </c>
      <c r="P69" s="372">
        <f t="shared" si="18"/>
        <v>1.0965799930217799E-3</v>
      </c>
      <c r="Q69" s="373">
        <f t="shared" si="18"/>
        <v>8.5018990891466987E-4</v>
      </c>
      <c r="S69" s="216" t="s">
        <v>415</v>
      </c>
      <c r="T69" s="493" t="s">
        <v>416</v>
      </c>
    </row>
    <row r="70" spans="6:24" ht="15.5">
      <c r="F70" s="329" t="s">
        <v>428</v>
      </c>
      <c r="G70" s="404">
        <f>'Balance sheet'!B27/'Forecasted IS'!G33</f>
        <v>0.10865160087175446</v>
      </c>
      <c r="H70" s="404">
        <f>'Balance sheet'!C27/'Forecasted IS'!H33</f>
        <v>0.11383322955307974</v>
      </c>
      <c r="I70" s="404">
        <f>'Balance sheet'!D27/'Forecasted IS'!I33</f>
        <v>0.13630091374895542</v>
      </c>
      <c r="J70" s="404">
        <f>'Balance sheet'!E27/'Forecasted IS'!J33</f>
        <v>0.1682684446016571</v>
      </c>
      <c r="K70" s="404">
        <f>'Balance sheet'!F27/'Forecasted IS'!K33</f>
        <v>0.14082463448837521</v>
      </c>
      <c r="L70" s="409">
        <f>'Balance sheet'!G27/'Forecasted IS'!L33</f>
        <v>0.13124465357895629</v>
      </c>
      <c r="M70" s="391">
        <f>AVERAGE(G70:L70)</f>
        <v>0.13318724614046304</v>
      </c>
      <c r="N70" s="391">
        <f>AVERAGE(H70:M70)</f>
        <v>0.13727652035191448</v>
      </c>
      <c r="O70" s="391">
        <f>AVERAGE(I70:N70)</f>
        <v>0.14118373548505361</v>
      </c>
      <c r="P70" s="391">
        <f>AVERAGE(J70:O70)</f>
        <v>0.14199753910773663</v>
      </c>
      <c r="Q70" s="407">
        <f>AVERAGE(K70:P70)</f>
        <v>0.13761905485874987</v>
      </c>
      <c r="S70" s="216" t="s">
        <v>415</v>
      </c>
      <c r="T70" s="493" t="s">
        <v>416</v>
      </c>
      <c r="U70" s="391"/>
      <c r="V70" s="391"/>
      <c r="W70" s="391"/>
      <c r="X70" s="71"/>
    </row>
    <row r="71" spans="6:24" ht="15.5">
      <c r="F71" s="329" t="s">
        <v>429</v>
      </c>
      <c r="G71" s="402"/>
      <c r="H71">
        <f>(H21-G21)/G21</f>
        <v>1.7433011370140913E-2</v>
      </c>
      <c r="I71">
        <f>(I21-H21)/H21</f>
        <v>0.58202875616952388</v>
      </c>
      <c r="J71">
        <f>(J21-I21)/I21</f>
        <v>-0.14201283110010687</v>
      </c>
      <c r="K71">
        <f>(K21-J21)/J21</f>
        <v>0.25103317684427312</v>
      </c>
      <c r="L71" s="69">
        <f>(L21-K21)/K21</f>
        <v>0.16985071066411175</v>
      </c>
      <c r="M71">
        <f>MEDIAN($H$71:$L$71)</f>
        <v>0.16985071066411175</v>
      </c>
      <c r="N71">
        <f t="shared" ref="N71:Q71" si="19">MEDIAN($H$71:$L$71)</f>
        <v>0.16985071066411175</v>
      </c>
      <c r="O71">
        <f t="shared" si="19"/>
        <v>0.16985071066411175</v>
      </c>
      <c r="P71">
        <f t="shared" si="19"/>
        <v>0.16985071066411175</v>
      </c>
      <c r="Q71" s="148">
        <f t="shared" si="19"/>
        <v>0.16985071066411175</v>
      </c>
      <c r="S71" s="494" t="s">
        <v>425</v>
      </c>
      <c r="T71" s="484" t="s">
        <v>426</v>
      </c>
      <c r="U71" s="391"/>
      <c r="V71" s="391"/>
      <c r="W71" s="391"/>
      <c r="X71" s="71"/>
    </row>
    <row r="72" spans="6:24" ht="15.5">
      <c r="F72" s="329" t="s">
        <v>430</v>
      </c>
      <c r="G72" s="404">
        <f>35.659/('Forecasted IS'!G33)</f>
        <v>3.6770631341397457E-3</v>
      </c>
      <c r="H72" s="404">
        <f>35.659/('Forecasted IS'!H33)</f>
        <v>3.4144549248190819E-3</v>
      </c>
      <c r="I72" s="404">
        <f>35.659/('Forecasted IS'!I33)</f>
        <v>2.9847000953523752E-3</v>
      </c>
      <c r="J72" s="404">
        <f>35.659/('Forecasted IS'!J33)</f>
        <v>2.5996707525995431E-3</v>
      </c>
      <c r="K72" s="404">
        <f>35.659/('Forecasted IS'!K33)</f>
        <v>2.0393958735104439E-3</v>
      </c>
      <c r="L72" s="409">
        <f>35.659/('Forecasted IS'!L33)</f>
        <v>1.721815561052386E-3</v>
      </c>
      <c r="M72" s="391">
        <f t="shared" ref="M72" si="20">AVERAGE(G72:L72)</f>
        <v>2.739516723578929E-3</v>
      </c>
      <c r="N72" s="391">
        <f t="shared" ref="N72" si="21">AVERAGE(H72:M72)</f>
        <v>2.5832589884854599E-3</v>
      </c>
      <c r="O72" s="391">
        <f t="shared" ref="O72" si="22">AVERAGE(I72:N72)</f>
        <v>2.4447263324298561E-3</v>
      </c>
      <c r="P72" s="391">
        <f t="shared" ref="P72" si="23">AVERAGE(J72:O72)</f>
        <v>2.3547307052761029E-3</v>
      </c>
      <c r="Q72" s="407">
        <f t="shared" ref="Q72" si="24">AVERAGE(K72:P72)</f>
        <v>2.3139073640555297E-3</v>
      </c>
      <c r="S72" s="216" t="s">
        <v>415</v>
      </c>
      <c r="T72" s="493" t="s">
        <v>416</v>
      </c>
      <c r="U72" s="391"/>
      <c r="V72" s="391"/>
      <c r="W72" s="391"/>
      <c r="X72" s="71"/>
    </row>
    <row r="73" spans="6:24" ht="15.5">
      <c r="F73" s="329" t="s">
        <v>431</v>
      </c>
      <c r="G73" s="404">
        <f>'Balance sheet'!B18/'Forecasted IS'!G32</f>
        <v>0.18159831679137137</v>
      </c>
      <c r="H73" s="405">
        <f>'Balance sheet'!C18/'Forecasted IS'!H32</f>
        <v>0.19864527964626744</v>
      </c>
      <c r="I73" s="405">
        <f>'Balance sheet'!D18/'Forecasted IS'!I32</f>
        <v>0.16678538689566774</v>
      </c>
      <c r="J73" s="405">
        <f>'Balance sheet'!E18/'Forecasted IS'!J32</f>
        <v>0.2488455891467049</v>
      </c>
      <c r="K73" s="405">
        <f>'Balance sheet'!F18/'Forecasted IS'!K32</f>
        <v>0.15842616313713234</v>
      </c>
      <c r="L73" s="406">
        <f>'Balance sheet'!G18/'Forecasted IS'!L32</f>
        <v>0.41673641099338332</v>
      </c>
      <c r="M73" s="391">
        <f t="shared" si="18"/>
        <v>0.27466938775907351</v>
      </c>
      <c r="N73" s="391">
        <f t="shared" si="18"/>
        <v>0.28327732062986305</v>
      </c>
      <c r="O73" s="391">
        <f t="shared" si="18"/>
        <v>0.32489437312744002</v>
      </c>
      <c r="P73" s="391">
        <f t="shared" si="18"/>
        <v>0.29428036050545886</v>
      </c>
      <c r="Q73" s="407">
        <f t="shared" si="18"/>
        <v>0.30081735142092064</v>
      </c>
      <c r="S73" s="216" t="s">
        <v>415</v>
      </c>
      <c r="T73" s="493" t="s">
        <v>416</v>
      </c>
    </row>
    <row r="74" spans="6:24" ht="15.5">
      <c r="F74" s="329"/>
      <c r="G74" s="374"/>
      <c r="H74" s="375"/>
      <c r="I74" s="375"/>
      <c r="J74" s="375"/>
      <c r="K74" s="375"/>
      <c r="L74" s="376"/>
      <c r="M74" s="372"/>
      <c r="N74" s="372"/>
      <c r="O74" s="372"/>
      <c r="P74" s="372"/>
      <c r="Q74" s="373"/>
      <c r="S74" s="216"/>
      <c r="T74" s="484"/>
    </row>
    <row r="75" spans="6:24" ht="15.5">
      <c r="F75" s="99" t="s">
        <v>392</v>
      </c>
      <c r="G75" s="121">
        <f>Segments!B47/'Forecasted IS'!G10</f>
        <v>0.17953270896078297</v>
      </c>
      <c r="H75" s="67">
        <f>Segments!C47/'Forecasted IS'!H10</f>
        <v>0.10524340370762492</v>
      </c>
      <c r="I75" s="122">
        <f>Segments!D47/'Forecasted IS'!I10</f>
        <v>0</v>
      </c>
      <c r="J75" s="67">
        <f>Segments!E47</f>
        <v>0</v>
      </c>
      <c r="K75" s="67">
        <f>Segments!F47</f>
        <v>0</v>
      </c>
      <c r="L75" s="68">
        <f>Segments!G47</f>
        <v>0</v>
      </c>
      <c r="M75" s="67">
        <f>AVERAGE($J75:$L75)</f>
        <v>0</v>
      </c>
      <c r="N75" s="67">
        <f>AVERAGE($J75:$L75)</f>
        <v>0</v>
      </c>
      <c r="O75" s="67">
        <f>AVERAGE($J75:$L75)</f>
        <v>0</v>
      </c>
      <c r="P75" s="67">
        <f>AVERAGE($J75:$L75)</f>
        <v>0</v>
      </c>
      <c r="Q75" s="116">
        <f>AVERAGE($J75:$L75)</f>
        <v>0</v>
      </c>
      <c r="S75" s="216" t="s">
        <v>421</v>
      </c>
      <c r="T75" s="484" t="s">
        <v>432</v>
      </c>
    </row>
    <row r="76" spans="6:24" ht="15.5">
      <c r="F76" s="329"/>
      <c r="G76" s="365"/>
      <c r="H76" s="366"/>
      <c r="I76" s="366"/>
      <c r="J76" s="366"/>
      <c r="K76" s="366"/>
      <c r="L76" s="367"/>
      <c r="M76" s="366"/>
      <c r="N76" s="366"/>
      <c r="O76" s="366"/>
      <c r="P76" s="366"/>
      <c r="Q76" s="368"/>
      <c r="S76" s="216"/>
      <c r="T76" s="484"/>
    </row>
    <row r="77" spans="6:24" ht="15.5">
      <c r="F77" s="99" t="s">
        <v>394</v>
      </c>
      <c r="G77" s="82"/>
      <c r="H77" s="62"/>
      <c r="I77" s="62"/>
      <c r="J77" s="62"/>
      <c r="K77" s="62"/>
      <c r="L77" s="63"/>
      <c r="M77" s="62"/>
      <c r="N77" s="62"/>
      <c r="O77" s="62"/>
      <c r="P77" s="62"/>
      <c r="Q77" s="113"/>
      <c r="S77" s="216"/>
      <c r="T77" s="484"/>
    </row>
    <row r="78" spans="6:24" ht="15.5">
      <c r="F78" s="329" t="s">
        <v>433</v>
      </c>
      <c r="G78" s="377">
        <f>'Balance sheet'!B62/'Forecasted IS'!G32</f>
        <v>1.225987336926974</v>
      </c>
      <c r="H78" s="378">
        <f>'Balance sheet'!C62/'Forecasted IS'!H32</f>
        <v>1.1827037960393245</v>
      </c>
      <c r="I78" s="378">
        <f>'Balance sheet'!D62/'Forecasted IS'!I32</f>
        <v>0.49888488965963346</v>
      </c>
      <c r="J78" s="378">
        <f>'Balance sheet'!E62/'Forecasted IS'!J32</f>
        <v>1.2083325331745818</v>
      </c>
      <c r="K78" s="378">
        <f>'Balance sheet'!F62/'Forecasted IS'!K32</f>
        <v>0.80708755989286041</v>
      </c>
      <c r="L78" s="361">
        <f>'Balance sheet'!G62/'Forecasted IS'!L32</f>
        <v>0.57099174988893842</v>
      </c>
      <c r="M78" s="366">
        <f t="shared" ref="M78:Q83" si="25">AVERAGE(J78:L78)</f>
        <v>0.86213728098546027</v>
      </c>
      <c r="N78" s="366">
        <f t="shared" si="25"/>
        <v>0.74673886358908648</v>
      </c>
      <c r="O78" s="366">
        <f t="shared" si="25"/>
        <v>0.72662263148782846</v>
      </c>
      <c r="P78" s="366">
        <f t="shared" si="25"/>
        <v>0.77849959202079166</v>
      </c>
      <c r="Q78" s="368">
        <f t="shared" si="25"/>
        <v>0.75062036236590224</v>
      </c>
      <c r="S78" s="216" t="s">
        <v>415</v>
      </c>
      <c r="T78" s="493" t="s">
        <v>416</v>
      </c>
    </row>
    <row r="79" spans="6:24" ht="15.5">
      <c r="F79" s="329" t="s">
        <v>434</v>
      </c>
      <c r="G79" s="359">
        <f>'Balance sheet'!B64/'Forecasted IS'!G10</f>
        <v>0.64235296231815109</v>
      </c>
      <c r="H79" s="360">
        <f>'Balance sheet'!C64/'Forecasted IS'!H10</f>
        <v>0.6476797243154595</v>
      </c>
      <c r="I79" s="360">
        <f>'Balance sheet'!D64/'Forecasted IS'!I10</f>
        <v>0.56778232482136337</v>
      </c>
      <c r="J79" s="360">
        <f>'Balance sheet'!E64/'Forecasted IS'!J10</f>
        <v>0.49259885571698109</v>
      </c>
      <c r="K79" s="360">
        <f>'Balance sheet'!F64/'Forecasted IS'!K10</f>
        <v>0.49946091652226132</v>
      </c>
      <c r="L79" s="362">
        <f>'Balance sheet'!G64/'Forecasted IS'!L10</f>
        <v>0.54027210380210411</v>
      </c>
      <c r="M79" s="366">
        <f t="shared" si="25"/>
        <v>0.51077729201378219</v>
      </c>
      <c r="N79" s="366">
        <f t="shared" si="25"/>
        <v>0.5168367707793825</v>
      </c>
      <c r="O79" s="366">
        <f t="shared" si="25"/>
        <v>0.52262872219842293</v>
      </c>
      <c r="P79" s="366">
        <f t="shared" si="25"/>
        <v>0.51674759499719591</v>
      </c>
      <c r="Q79" s="368">
        <f t="shared" si="25"/>
        <v>0.51873769599166719</v>
      </c>
      <c r="S79" s="216" t="s">
        <v>415</v>
      </c>
      <c r="T79" s="493" t="s">
        <v>416</v>
      </c>
    </row>
    <row r="80" spans="6:24" ht="15.5">
      <c r="F80" s="329" t="s">
        <v>435</v>
      </c>
      <c r="G80" s="359">
        <f>('Balance sheet'!B66-G38)/'Forecasted IS'!G32</f>
        <v>-0.42780171100205039</v>
      </c>
      <c r="H80" s="360">
        <f>('Balance sheet'!C66-H38)/'Forecasted IS'!H32</f>
        <v>-0.33911049437885127</v>
      </c>
      <c r="I80" s="360">
        <f>('Balance sheet'!D66-I38)/'Forecasted IS'!I32</f>
        <v>-0.20089843765501422</v>
      </c>
      <c r="J80" s="360">
        <f>('Balance sheet'!E66-J38)/'Forecasted IS'!J32</f>
        <v>-0.19867214382606235</v>
      </c>
      <c r="K80" s="360">
        <f>('Balance sheet'!F66-K38)/'Forecasted IS'!K32</f>
        <v>-0.16587509168315701</v>
      </c>
      <c r="L80" s="362">
        <f>('Balance sheet'!G66-L38)/'Forecasted IS'!L32</f>
        <v>-0.15171195682437752</v>
      </c>
      <c r="M80" s="366">
        <f t="shared" si="25"/>
        <v>-0.17208639744453227</v>
      </c>
      <c r="N80" s="366">
        <f t="shared" si="25"/>
        <v>-0.16322448198402226</v>
      </c>
      <c r="O80" s="366">
        <f t="shared" si="25"/>
        <v>-0.16234094541764402</v>
      </c>
      <c r="P80" s="366">
        <f t="shared" si="25"/>
        <v>-0.16588394161539952</v>
      </c>
      <c r="Q80" s="368">
        <f t="shared" si="25"/>
        <v>-0.16381645633902195</v>
      </c>
      <c r="S80" s="216" t="s">
        <v>415</v>
      </c>
      <c r="T80" s="493" t="s">
        <v>416</v>
      </c>
    </row>
    <row r="81" spans="6:24" ht="15.5">
      <c r="F81" s="329" t="s">
        <v>436</v>
      </c>
      <c r="G81" s="359">
        <f>'Balance sheet'!B65/'Forecasted IS'!G10</f>
        <v>-5.5579967764474436E-2</v>
      </c>
      <c r="H81" s="360">
        <f>'Balance sheet'!C65/'Forecasted IS'!H10</f>
        <v>-3.7200805463868294E-2</v>
      </c>
      <c r="I81" s="360">
        <f>'Balance sheet'!D65/'Forecasted IS'!I10</f>
        <v>-2.93129026940636E-2</v>
      </c>
      <c r="J81" s="360">
        <f>'Balance sheet'!E65/'Forecasted IS'!J10</f>
        <v>-4.83461104468575E-2</v>
      </c>
      <c r="K81" s="360">
        <f>'Balance sheet'!F65/'Forecasted IS'!K10</f>
        <v>-5.4964790691874876E-2</v>
      </c>
      <c r="L81" s="362">
        <f>'Balance sheet'!G65/'Forecasted IS'!L10</f>
        <v>-6.4505769699889151E-2</v>
      </c>
      <c r="M81" s="366">
        <f t="shared" si="25"/>
        <v>-5.59388902795405E-2</v>
      </c>
      <c r="N81" s="366">
        <f t="shared" si="25"/>
        <v>-5.8469816890434845E-2</v>
      </c>
      <c r="O81" s="366">
        <f t="shared" si="25"/>
        <v>-5.9638158956621501E-2</v>
      </c>
      <c r="P81" s="366">
        <f t="shared" si="25"/>
        <v>-5.8015622042198949E-2</v>
      </c>
      <c r="Q81" s="368">
        <f t="shared" si="25"/>
        <v>-5.8707865963085103E-2</v>
      </c>
      <c r="S81" s="216" t="s">
        <v>415</v>
      </c>
      <c r="T81" s="493" t="s">
        <v>416</v>
      </c>
    </row>
    <row r="82" spans="6:24" ht="15.5">
      <c r="F82" s="103" t="s">
        <v>437</v>
      </c>
      <c r="G82" s="83">
        <f>SUM(G32:G35)/'Forecasted IS'!G10</f>
        <v>0.72685291161587107</v>
      </c>
      <c r="H82" s="117">
        <f>SUM(H32:H35)/'Forecasted IS'!H10</f>
        <v>0.75939797803657805</v>
      </c>
      <c r="I82" s="117">
        <f>SUM(I32:I35)/'Forecasted IS'!I10</f>
        <v>0.64610367737172925</v>
      </c>
      <c r="J82" s="117">
        <f>SUM(J32:J35)/'Forecasted IS'!J10</f>
        <v>0.79795698694563277</v>
      </c>
      <c r="K82" s="117">
        <f>SUM(K32:K35)/'Forecasted IS'!K10</f>
        <v>0.77177708280697177</v>
      </c>
      <c r="L82" s="64">
        <f>SUM(L32:L35)/'Forecasted IS'!L10</f>
        <v>0.78964078716183872</v>
      </c>
      <c r="M82" s="366">
        <f t="shared" si="25"/>
        <v>0.78645828563814779</v>
      </c>
      <c r="N82" s="366">
        <f t="shared" si="25"/>
        <v>0.78262538520231939</v>
      </c>
      <c r="O82" s="366">
        <f t="shared" si="25"/>
        <v>0.7862414860007686</v>
      </c>
      <c r="P82" s="366">
        <f t="shared" si="25"/>
        <v>0.78510838561374519</v>
      </c>
      <c r="Q82" s="368">
        <f t="shared" si="25"/>
        <v>0.78465841893894439</v>
      </c>
      <c r="S82" s="216" t="s">
        <v>415</v>
      </c>
      <c r="T82" s="493" t="s">
        <v>416</v>
      </c>
    </row>
    <row r="83" spans="6:24" ht="15.5">
      <c r="F83" s="103" t="s">
        <v>438</v>
      </c>
      <c r="G83" s="83">
        <f>'Balance sheet'!B69/'Forecasted IS'!G10</f>
        <v>2.2495981255987469E-2</v>
      </c>
      <c r="H83" s="117">
        <f>'Balance sheet'!C69/'Forecasted IS'!H10</f>
        <v>2.4266052189076414E-2</v>
      </c>
      <c r="I83" s="117">
        <f>'Balance sheet'!D69/'Forecasted IS'!I10</f>
        <v>2.1358642289416536E-2</v>
      </c>
      <c r="J83" s="117">
        <f>'Balance sheet'!E69/'Forecasted IS'!J10</f>
        <v>1.5267402000507618E-2</v>
      </c>
      <c r="K83" s="117">
        <f>'Balance sheet'!F69/'Forecasted IS'!K10</f>
        <v>1.9937904963585454E-2</v>
      </c>
      <c r="L83" s="64">
        <f>'Balance sheet'!G69/'Forecasted IS'!L10</f>
        <v>1.9970541644665541E-2</v>
      </c>
      <c r="M83" s="366">
        <f t="shared" si="25"/>
        <v>1.839194953625287E-2</v>
      </c>
      <c r="N83" s="366">
        <f t="shared" si="25"/>
        <v>1.9433465381501286E-2</v>
      </c>
      <c r="O83" s="366">
        <f t="shared" si="25"/>
        <v>1.9265318854139898E-2</v>
      </c>
      <c r="P83" s="366">
        <f t="shared" si="25"/>
        <v>1.9030244590631351E-2</v>
      </c>
      <c r="Q83" s="368">
        <f t="shared" si="25"/>
        <v>1.9243009608757512E-2</v>
      </c>
      <c r="S83" s="216" t="s">
        <v>415</v>
      </c>
      <c r="T83" s="493" t="s">
        <v>416</v>
      </c>
    </row>
    <row r="84" spans="6:24" ht="15.5">
      <c r="F84" s="103" t="s">
        <v>439</v>
      </c>
      <c r="G84" s="83">
        <f>33.671/'Forecasted IS'!G10</f>
        <v>1.4406721282506687E-2</v>
      </c>
      <c r="H84" s="117">
        <f>-39.417/'Forecasted IS'!H10</f>
        <v>-1.6365448091175187E-2</v>
      </c>
      <c r="I84" s="123">
        <f>0/'Forecasted IS'!I10</f>
        <v>0</v>
      </c>
      <c r="J84" s="117">
        <f>0/'Forecasted IS'!J10</f>
        <v>0</v>
      </c>
      <c r="K84" s="117">
        <f>0/'Forecasted IS'!K10</f>
        <v>0</v>
      </c>
      <c r="L84" s="64">
        <f>0/'Forecasted IS'!L10</f>
        <v>0</v>
      </c>
      <c r="M84" s="366">
        <f>AVERAGE($J84:$L84)</f>
        <v>0</v>
      </c>
      <c r="N84" s="366">
        <f>AVERAGE($J84:$L84)</f>
        <v>0</v>
      </c>
      <c r="O84" s="366">
        <f>AVERAGE($J84:$L84)</f>
        <v>0</v>
      </c>
      <c r="P84" s="366">
        <f>AVERAGE($J84:$L84)</f>
        <v>0</v>
      </c>
      <c r="Q84" s="368">
        <f>AVERAGE($J84:$L84)</f>
        <v>0</v>
      </c>
      <c r="S84" s="216" t="s">
        <v>421</v>
      </c>
      <c r="T84" s="484" t="s">
        <v>432</v>
      </c>
    </row>
    <row r="85" spans="6:24" ht="15.5">
      <c r="F85" s="329"/>
      <c r="G85" s="359"/>
      <c r="H85" s="360"/>
      <c r="I85" s="360"/>
      <c r="J85" s="360"/>
      <c r="K85" s="360"/>
      <c r="L85" s="362"/>
      <c r="M85" s="366"/>
      <c r="N85" s="366"/>
      <c r="O85" s="366"/>
      <c r="P85" s="366"/>
      <c r="Q85" s="368"/>
      <c r="S85" s="216"/>
      <c r="T85" s="484"/>
    </row>
    <row r="86" spans="6:24" ht="15.5">
      <c r="F86" s="99" t="s">
        <v>402</v>
      </c>
      <c r="G86" s="84"/>
      <c r="H86" s="65"/>
      <c r="I86" s="65"/>
      <c r="J86" s="65"/>
      <c r="K86" s="65"/>
      <c r="L86" s="66"/>
      <c r="M86" s="62"/>
      <c r="N86" s="62"/>
      <c r="O86" s="62"/>
      <c r="P86" s="62"/>
      <c r="Q86" s="113"/>
      <c r="S86" s="216"/>
      <c r="T86" s="484"/>
    </row>
    <row r="87" spans="6:24" ht="15.5">
      <c r="F87" s="329" t="s">
        <v>440</v>
      </c>
      <c r="G87" s="359">
        <f>'Balance sheet'!B57/'Forecasted IS'!G10</f>
        <v>0.13364735943809039</v>
      </c>
      <c r="H87" s="360">
        <f>'Balance sheet'!C57/'Forecasted IS'!H10</f>
        <v>0.14029478316829627</v>
      </c>
      <c r="I87" s="360">
        <f>'Balance sheet'!D57/'Forecasted IS'!I10</f>
        <v>0.12284650502762866</v>
      </c>
      <c r="J87" s="360">
        <f>'Balance sheet'!E57/'Forecasted IS'!J10</f>
        <v>0.10207145194286535</v>
      </c>
      <c r="K87" s="360">
        <f>'Balance sheet'!F57/'Forecasted IS'!K10</f>
        <v>0.11684883611237339</v>
      </c>
      <c r="L87" s="378">
        <f>'Balance sheet'!G57/'Forecasted IS'!L10</f>
        <v>0.13165352774612704</v>
      </c>
      <c r="M87" s="410">
        <f t="shared" ref="M87:Q91" si="26">AVERAGE(J87:L87)</f>
        <v>0.11685793860045525</v>
      </c>
      <c r="N87" s="411">
        <f t="shared" si="26"/>
        <v>0.12178676748631856</v>
      </c>
      <c r="O87" s="411">
        <f t="shared" si="26"/>
        <v>0.12343274461096694</v>
      </c>
      <c r="P87" s="411">
        <f t="shared" si="26"/>
        <v>0.12069248356591357</v>
      </c>
      <c r="Q87" s="412">
        <f t="shared" si="26"/>
        <v>0.12197066522106635</v>
      </c>
      <c r="S87" s="216" t="s">
        <v>415</v>
      </c>
      <c r="T87" s="493" t="s">
        <v>416</v>
      </c>
    </row>
    <row r="88" spans="6:24" ht="15.5">
      <c r="F88" s="329" t="s">
        <v>441</v>
      </c>
      <c r="G88" s="359">
        <f>SUM('Balance sheet'!B54:B55)/'Forecasted IS'!G32</f>
        <v>0.17382591078311624</v>
      </c>
      <c r="H88" s="360">
        <f>SUM('Balance sheet'!C54:C55)/'Forecasted IS'!H32</f>
        <v>5.7373347758596357E-2</v>
      </c>
      <c r="I88" s="360">
        <f>SUM('Balance sheet'!D54:D55)/'Forecasted IS'!I32</f>
        <v>0.68861436627207906</v>
      </c>
      <c r="J88" s="360">
        <f>SUM('Balance sheet'!E54:E55)/'Forecasted IS'!J32</f>
        <v>0.61875199675979353</v>
      </c>
      <c r="K88" s="360">
        <f>SUM('Balance sheet'!F54:F55)/'Forecasted IS'!K32</f>
        <v>0.67112828878707698</v>
      </c>
      <c r="L88" s="362">
        <f>SUM('Balance sheet'!G54:G55)/'Forecasted IS'!L32</f>
        <v>0.70335032633745143</v>
      </c>
      <c r="M88" s="372">
        <f t="shared" si="26"/>
        <v>0.66441020396144068</v>
      </c>
      <c r="N88" s="372">
        <f t="shared" si="26"/>
        <v>0.67962960636198977</v>
      </c>
      <c r="O88" s="372">
        <f t="shared" si="26"/>
        <v>0.68246337888696063</v>
      </c>
      <c r="P88" s="372">
        <f t="shared" si="26"/>
        <v>0.67550106307013047</v>
      </c>
      <c r="Q88" s="373">
        <f t="shared" si="26"/>
        <v>0.67919801610636032</v>
      </c>
      <c r="S88" s="216" t="s">
        <v>415</v>
      </c>
      <c r="T88" s="493" t="s">
        <v>416</v>
      </c>
    </row>
    <row r="89" spans="6:24" ht="15.5">
      <c r="F89" s="329" t="s">
        <v>405</v>
      </c>
      <c r="G89" s="388"/>
      <c r="H89">
        <f>(H44-G44)/G44</f>
        <v>0.68939363212330151</v>
      </c>
      <c r="I89">
        <f>(I44-H44)/H44</f>
        <v>-2.9074234130413528E-2</v>
      </c>
      <c r="J89">
        <f>(J44-I44)/I44</f>
        <v>-0.39684973170792021</v>
      </c>
      <c r="K89">
        <f>(K44-J44)/J44</f>
        <v>-1.1479173499508661E-2</v>
      </c>
      <c r="L89" s="69">
        <f>(L44-K44)/K44</f>
        <v>-2.5174187126740671E-2</v>
      </c>
      <c r="M89">
        <f>MEDIAN($H$89:$L$89)</f>
        <v>-2.5174187126740671E-2</v>
      </c>
      <c r="N89">
        <f t="shared" ref="N89:P89" si="27">MEDIAN($H$89:$L$89)</f>
        <v>-2.5174187126740671E-2</v>
      </c>
      <c r="O89">
        <f t="shared" si="27"/>
        <v>-2.5174187126740671E-2</v>
      </c>
      <c r="P89">
        <f t="shared" si="27"/>
        <v>-2.5174187126740671E-2</v>
      </c>
      <c r="Q89" s="148">
        <f>MEDIAN($H$89:$L$89)</f>
        <v>-2.5174187126740671E-2</v>
      </c>
      <c r="S89" s="495" t="s">
        <v>425</v>
      </c>
      <c r="T89" s="484" t="s">
        <v>426</v>
      </c>
    </row>
    <row r="90" spans="6:24" ht="15.5">
      <c r="F90" s="329" t="s">
        <v>442</v>
      </c>
      <c r="G90" s="359">
        <f>'Balance sheet'!B58/'Forecasted IS'!G10</f>
        <v>2.6677528792263135E-3</v>
      </c>
      <c r="H90" s="360">
        <f>'Balance sheet'!C58/'Forecasted IS'!H10</f>
        <v>2.8747586722301798E-3</v>
      </c>
      <c r="I90" s="360">
        <f>'Balance sheet'!D58/'Forecasted IS'!I10</f>
        <v>1.2685534906721901E-3</v>
      </c>
      <c r="J90" s="360">
        <f>'Balance sheet'!E58/'Forecasted IS'!J10</f>
        <v>1.9035707623762678E-3</v>
      </c>
      <c r="K90" s="360">
        <f>'Balance sheet'!F58/'Forecasted IS'!K10</f>
        <v>3.4106738826181811E-3</v>
      </c>
      <c r="L90" s="362">
        <f>'Balance sheet'!G58/'Forecasted IS'!L10</f>
        <v>7.0545658906829463E-3</v>
      </c>
      <c r="M90" s="372">
        <f t="shared" si="26"/>
        <v>4.1229368452257989E-3</v>
      </c>
      <c r="N90" s="372">
        <f t="shared" si="26"/>
        <v>4.8627255395089749E-3</v>
      </c>
      <c r="O90" s="372">
        <f t="shared" si="26"/>
        <v>5.3467427584725736E-3</v>
      </c>
      <c r="P90" s="372">
        <f t="shared" si="26"/>
        <v>4.7774683810691164E-3</v>
      </c>
      <c r="Q90" s="373">
        <f t="shared" si="26"/>
        <v>4.9956455596835555E-3</v>
      </c>
      <c r="S90" s="216" t="s">
        <v>415</v>
      </c>
      <c r="T90" s="493" t="s">
        <v>416</v>
      </c>
    </row>
    <row r="91" spans="6:24" ht="15.5">
      <c r="F91" s="329" t="s">
        <v>443</v>
      </c>
      <c r="G91" s="359">
        <f>75.699/'Forecasted IS'!G32</f>
        <v>0.18455563438485112</v>
      </c>
      <c r="H91" s="360">
        <f>75.699/'Forecasted IS'!H32</f>
        <v>0.17803988898819323</v>
      </c>
      <c r="I91" s="360">
        <f>75.699/'Forecasted IS'!I32</f>
        <v>7.510030040516999E-2</v>
      </c>
      <c r="J91" s="360">
        <f>75.699/'Forecasted IS'!J32</f>
        <v>6.6077691632201646E-2</v>
      </c>
      <c r="K91" s="360">
        <f>75.699/'Forecasted IS'!K32</f>
        <v>4.4135601284088936E-2</v>
      </c>
      <c r="L91" s="362">
        <f>75.699/'Forecasted IS'!L32</f>
        <v>3.1224696627646965E-2</v>
      </c>
      <c r="M91" s="372">
        <f t="shared" si="26"/>
        <v>4.7145996514645849E-2</v>
      </c>
      <c r="N91" s="372">
        <f t="shared" si="26"/>
        <v>4.0835431475460586E-2</v>
      </c>
      <c r="O91" s="372">
        <f t="shared" si="26"/>
        <v>3.9735374872584467E-2</v>
      </c>
      <c r="P91" s="372">
        <f t="shared" si="26"/>
        <v>4.257226762089697E-2</v>
      </c>
      <c r="Q91" s="373">
        <f t="shared" si="26"/>
        <v>4.1047691322980674E-2</v>
      </c>
      <c r="S91" s="216" t="s">
        <v>415</v>
      </c>
      <c r="T91" s="493" t="s">
        <v>416</v>
      </c>
    </row>
    <row r="92" spans="6:24" ht="15.5">
      <c r="F92" s="329"/>
      <c r="G92" s="359"/>
      <c r="H92" s="360"/>
      <c r="I92" s="360"/>
      <c r="J92" s="360"/>
      <c r="K92" s="360"/>
      <c r="L92" s="362"/>
      <c r="M92" s="366"/>
      <c r="N92" s="366"/>
      <c r="O92" s="366"/>
      <c r="P92" s="366"/>
      <c r="Q92" s="368"/>
      <c r="S92" s="216"/>
      <c r="T92" s="484"/>
    </row>
    <row r="93" spans="6:24" ht="15.5">
      <c r="F93" s="99" t="s">
        <v>408</v>
      </c>
      <c r="G93" s="419"/>
      <c r="H93" s="415"/>
      <c r="I93" s="415"/>
      <c r="J93" s="415"/>
      <c r="K93" s="415"/>
      <c r="L93" s="415"/>
      <c r="M93" s="413"/>
      <c r="N93" s="62"/>
      <c r="O93" s="62"/>
      <c r="P93" s="62"/>
      <c r="Q93" s="113"/>
      <c r="S93" s="216"/>
      <c r="T93" s="484"/>
    </row>
    <row r="94" spans="6:24" ht="15.5">
      <c r="F94" s="329" t="s">
        <v>441</v>
      </c>
      <c r="G94" s="377">
        <f>('Balance sheet'!B48+'Balance sheet'!B47)/'Forecasted IS'!G32</f>
        <v>0.82617408921688384</v>
      </c>
      <c r="H94" s="378">
        <f>('Balance sheet'!C48+'Balance sheet'!C47)/'Forecasted IS'!H32</f>
        <v>0.94262665224140352</v>
      </c>
      <c r="I94" s="378">
        <f>('Balance sheet'!D48+'Balance sheet'!D47)/'Forecasted IS'!I32</f>
        <v>0.31138563372792105</v>
      </c>
      <c r="J94" s="378">
        <f>('Balance sheet'!E48+'Balance sheet'!E47)/'Forecasted IS'!J32</f>
        <v>0.38124800324020647</v>
      </c>
      <c r="K94" s="378">
        <f>('Balance sheet'!F48+'Balance sheet'!F47)/'Forecasted IS'!K32</f>
        <v>0.32887171121292297</v>
      </c>
      <c r="L94" s="361">
        <f>('Balance sheet'!G48+'Balance sheet'!G47)/'Forecasted IS'!L32</f>
        <v>0.29664967366254857</v>
      </c>
      <c r="M94" s="466">
        <f t="shared" ref="M94:Q94" si="28">AVERAGE(J94:L94)</f>
        <v>0.33558979603855937</v>
      </c>
      <c r="N94" s="466">
        <f t="shared" si="28"/>
        <v>0.32037039363801029</v>
      </c>
      <c r="O94" s="466">
        <f t="shared" si="28"/>
        <v>0.31753662111303943</v>
      </c>
      <c r="P94" s="466">
        <f t="shared" si="28"/>
        <v>0.3244989369298697</v>
      </c>
      <c r="Q94" s="496">
        <f t="shared" si="28"/>
        <v>0.32080198389363979</v>
      </c>
      <c r="S94" s="216" t="s">
        <v>415</v>
      </c>
      <c r="T94" s="493" t="s">
        <v>416</v>
      </c>
    </row>
    <row r="95" spans="6:24" ht="15.5">
      <c r="F95" s="329" t="s">
        <v>405</v>
      </c>
      <c r="G95" s="403"/>
      <c r="H95">
        <f>(H50-G50)/G50</f>
        <v>6.0253557926948739E-2</v>
      </c>
      <c r="I95">
        <f>(I50-H50)/H50</f>
        <v>0.41196654643520458</v>
      </c>
      <c r="J95">
        <f>(J50-I50)/I50</f>
        <v>-3.0769896884835113E-2</v>
      </c>
      <c r="K95">
        <f>(K50-J50)/J50</f>
        <v>0.20573564201942923</v>
      </c>
      <c r="L95" s="69">
        <f>(L50-K50)/K50</f>
        <v>0.26225977745169449</v>
      </c>
      <c r="M95" s="241">
        <f>MEDIAN($H$95:$L$95)</f>
        <v>0.20573564201942923</v>
      </c>
      <c r="N95" s="241">
        <f t="shared" ref="N95:Q95" si="29">MEDIAN($H$95:$L$95)</f>
        <v>0.20573564201942923</v>
      </c>
      <c r="O95" s="241">
        <f t="shared" si="29"/>
        <v>0.20573564201942923</v>
      </c>
      <c r="P95" s="241">
        <f t="shared" si="29"/>
        <v>0.20573564201942923</v>
      </c>
      <c r="Q95" s="242">
        <f t="shared" si="29"/>
        <v>0.20573564201942923</v>
      </c>
      <c r="S95" s="494" t="s">
        <v>425</v>
      </c>
      <c r="T95" s="484" t="s">
        <v>426</v>
      </c>
      <c r="U95" s="391"/>
      <c r="V95" s="391"/>
      <c r="W95" s="391"/>
      <c r="X95" s="60"/>
    </row>
    <row r="96" spans="6:24" ht="15.5">
      <c r="F96" s="329" t="s">
        <v>444</v>
      </c>
      <c r="G96" s="403">
        <f>('Balance sheet'!B49)/'Forecasted IS'!G33</f>
        <v>5.6600106107797896E-3</v>
      </c>
      <c r="H96" s="391">
        <f>('Balance sheet'!C49)/'Forecasted IS'!H33</f>
        <v>5.5216903921763705E-3</v>
      </c>
      <c r="I96" s="391">
        <f>('Balance sheet'!D49)/'Forecasted IS'!I33</f>
        <v>5.2589446420536114E-3</v>
      </c>
      <c r="J96" s="391">
        <f>('Balance sheet'!E49)/'Forecasted IS'!J33</f>
        <v>5.4313208746365844E-3</v>
      </c>
      <c r="K96" s="391">
        <f>('Balance sheet'!F49)/'Forecasted IS'!K33</f>
        <v>7.5197253887314209E-3</v>
      </c>
      <c r="L96" s="420">
        <f>('Balance sheet'!G49)/'Forecasted IS'!L33</f>
        <v>7.7611347034463735E-3</v>
      </c>
      <c r="M96" s="491">
        <f t="shared" ref="M96" si="30">AVERAGE(G96:L96)</f>
        <v>6.1921377686373581E-3</v>
      </c>
      <c r="N96" s="491">
        <f t="shared" ref="N96" si="31">AVERAGE(H96:M96)</f>
        <v>6.2808256282802857E-3</v>
      </c>
      <c r="O96" s="491">
        <f t="shared" ref="O96" si="32">AVERAGE(I96:N96)</f>
        <v>6.407348167630938E-3</v>
      </c>
      <c r="P96" s="491">
        <f t="shared" ref="P96" si="33">AVERAGE(J96:O96)</f>
        <v>6.5987487552271601E-3</v>
      </c>
      <c r="Q96" s="497">
        <f t="shared" ref="Q96" si="34">AVERAGE(K96:P96)</f>
        <v>6.7933200686589234E-3</v>
      </c>
      <c r="R96" s="71"/>
      <c r="S96" s="216" t="s">
        <v>415</v>
      </c>
      <c r="T96" s="493" t="s">
        <v>416</v>
      </c>
      <c r="U96" s="391"/>
      <c r="V96" s="391"/>
      <c r="W96" s="391"/>
      <c r="X96" s="60"/>
    </row>
    <row r="97" spans="6:24" ht="15.5">
      <c r="F97" s="329" t="s">
        <v>410</v>
      </c>
      <c r="G97" s="403"/>
      <c r="H97">
        <f>(H52-G52)/G52</f>
        <v>0.14100388636488043</v>
      </c>
      <c r="I97">
        <f>(I52-H52)/H52</f>
        <v>0.62530582873590801</v>
      </c>
      <c r="J97">
        <f>(J52-I52)/I52</f>
        <v>0.59348573621216372</v>
      </c>
      <c r="K97">
        <f>(K52-J52)/J52</f>
        <v>-0.40512906004278842</v>
      </c>
      <c r="L97" s="69">
        <f>(L52-K52)/K52</f>
        <v>-6.1248637708236096E-2</v>
      </c>
      <c r="M97" s="241">
        <f>MEDIAN($H$97:$L$97)</f>
        <v>0.14100388636488043</v>
      </c>
      <c r="N97" s="241">
        <f t="shared" ref="N97:Q97" si="35">MEDIAN($H$97:$L$97)</f>
        <v>0.14100388636488043</v>
      </c>
      <c r="O97" s="241">
        <f t="shared" si="35"/>
        <v>0.14100388636488043</v>
      </c>
      <c r="P97" s="241">
        <f t="shared" si="35"/>
        <v>0.14100388636488043</v>
      </c>
      <c r="Q97" s="242">
        <f t="shared" si="35"/>
        <v>0.14100388636488043</v>
      </c>
      <c r="S97" s="494" t="s">
        <v>425</v>
      </c>
      <c r="T97" s="484" t="s">
        <v>426</v>
      </c>
      <c r="U97" s="391"/>
      <c r="V97" s="391"/>
      <c r="W97" s="391"/>
      <c r="X97" s="60"/>
    </row>
    <row r="98" spans="6:24" ht="15.5">
      <c r="F98" s="329"/>
      <c r="G98" s="359"/>
      <c r="H98" s="360"/>
      <c r="I98" s="360"/>
      <c r="J98" s="360"/>
      <c r="K98" s="360"/>
      <c r="L98" s="362"/>
      <c r="M98" s="360"/>
      <c r="N98" s="360"/>
      <c r="O98" s="360"/>
      <c r="P98" s="360"/>
      <c r="Q98" s="379"/>
      <c r="S98" s="216"/>
      <c r="T98" s="484"/>
    </row>
    <row r="99" spans="6:24" ht="15.5">
      <c r="F99" s="392" t="s">
        <v>445</v>
      </c>
      <c r="G99" s="414">
        <f>229.193/'Forecasted IS'!G10</f>
        <v>9.806419978324242E-2</v>
      </c>
      <c r="H99" s="415">
        <f>144.908/'Forecasted IS'!H10</f>
        <v>6.0163999086587358E-2</v>
      </c>
      <c r="I99" s="415">
        <v>0</v>
      </c>
      <c r="J99" s="415">
        <f>0/'Forecasted IS'!J10</f>
        <v>0</v>
      </c>
      <c r="K99" s="415">
        <f>0/'Forecasted IS'!K10</f>
        <v>0</v>
      </c>
      <c r="L99" s="416">
        <v>0</v>
      </c>
      <c r="M99" s="415">
        <f>AVERAGE($J99:$L99)</f>
        <v>0</v>
      </c>
      <c r="N99" s="415">
        <f>AVERAGE($J99:$L99)</f>
        <v>0</v>
      </c>
      <c r="O99" s="415">
        <f>AVERAGE($J99:$L99)</f>
        <v>0</v>
      </c>
      <c r="P99" s="415">
        <f>AVERAGE($J99:$L99)</f>
        <v>0</v>
      </c>
      <c r="Q99" s="498">
        <f>AVERAGE($J99:$L99)</f>
        <v>0</v>
      </c>
      <c r="S99" s="216" t="s">
        <v>421</v>
      </c>
      <c r="T99" s="484" t="s">
        <v>432</v>
      </c>
    </row>
    <row r="100" spans="6:24" ht="15.5">
      <c r="F100" s="231"/>
      <c r="G100" s="169"/>
      <c r="H100" s="169"/>
      <c r="I100" s="169"/>
      <c r="J100" s="169"/>
      <c r="K100" s="169"/>
      <c r="L100" s="418"/>
      <c r="M100" s="169"/>
      <c r="N100" s="169"/>
      <c r="O100" s="169"/>
      <c r="P100" s="169"/>
      <c r="Q100" s="170"/>
      <c r="S100" s="216"/>
      <c r="T100" s="484"/>
    </row>
    <row r="101" spans="6:24" ht="16" thickBot="1">
      <c r="F101" s="417" t="s">
        <v>446</v>
      </c>
      <c r="G101" s="421">
        <f>('Balance sheet'!B39-'Balance sheet'!B58)/'Forecasted IS'!G33</f>
        <v>1.0087149665100487E-2</v>
      </c>
      <c r="H101" s="204">
        <f>('Balance sheet'!C39-'Balance sheet'!C58)/'Forecasted IS'!H33</f>
        <v>1.0598033751196074E-2</v>
      </c>
      <c r="I101" s="204">
        <f>('Balance sheet'!D39-'Balance sheet'!D58)/'Forecasted IS'!I33</f>
        <v>9.3030504724763777E-3</v>
      </c>
      <c r="J101" s="204">
        <f>('Balance sheet'!E39-'Balance sheet'!E58)/'Forecasted IS'!J33</f>
        <v>9.23178741416417E-3</v>
      </c>
      <c r="K101" s="204">
        <f>('Balance sheet'!F39-'Balance sheet'!F58)/'Forecasted IS'!K33</f>
        <v>9.0057351753609349E-3</v>
      </c>
      <c r="L101" s="204">
        <f>('Balance sheet'!G39-'Balance sheet'!G58)/'Forecasted IS'!L33</f>
        <v>9.6132730497501782E-3</v>
      </c>
      <c r="M101" s="422">
        <f>AVERAGE(G101:L101)</f>
        <v>9.6398382546747045E-3</v>
      </c>
      <c r="N101" s="204">
        <f t="shared" ref="N101:Q101" si="36">AVERAGE(H101:M101)</f>
        <v>9.5652863529370729E-3</v>
      </c>
      <c r="O101" s="204">
        <f t="shared" si="36"/>
        <v>9.3931617865605724E-3</v>
      </c>
      <c r="P101" s="204">
        <f t="shared" si="36"/>
        <v>9.4081803389079385E-3</v>
      </c>
      <c r="Q101" s="205">
        <f t="shared" si="36"/>
        <v>9.4375791596985666E-3</v>
      </c>
      <c r="S101" s="251" t="s">
        <v>415</v>
      </c>
      <c r="T101" s="499" t="s">
        <v>416</v>
      </c>
    </row>
  </sheetData>
  <mergeCells count="15">
    <mergeCell ref="F56:Q56"/>
    <mergeCell ref="B15:D15"/>
    <mergeCell ref="B4:D4"/>
    <mergeCell ref="B5:D5"/>
    <mergeCell ref="B6:D6"/>
    <mergeCell ref="B7:D7"/>
    <mergeCell ref="B8:D8"/>
    <mergeCell ref="B9:D9"/>
    <mergeCell ref="B10:D10"/>
    <mergeCell ref="B11:D11"/>
    <mergeCell ref="B12:D12"/>
    <mergeCell ref="B13:D13"/>
    <mergeCell ref="B14:D14"/>
    <mergeCell ref="B16:D16"/>
    <mergeCell ref="B17:D17"/>
  </mergeCells>
  <hyperlinks>
    <hyperlink ref="B10:D10" location="'Forecasted IS'!A1" display="Forecasted IS" xr:uid="{CF564640-F164-4924-BBD1-6C34DB494B66}"/>
    <hyperlink ref="B5:D5" location="'Income Statement'!A1" display="Income Statement" xr:uid="{7E5D5649-3BBF-44CE-ABEA-3A1F07759DDF}"/>
    <hyperlink ref="B7:D7" location="'Market data'!A1" display="Market Data" xr:uid="{5589BB9D-C9A4-497D-8EF9-B5C5B3E002A3}"/>
    <hyperlink ref="B6:D6" location="'Key stats'!A1" display="Key Stat" xr:uid="{A9767728-D243-41BE-804B-CCB6C718CB86}"/>
    <hyperlink ref="B9:D9" location="'Cash Flow'!A1" display="Cash Flow" xr:uid="{DF1239E3-E5C9-4078-881E-CF6BDC79592E}"/>
    <hyperlink ref="B14:D14" location="FCF!A1" display="FCF" xr:uid="{AF54EE02-2A90-4968-B9F8-CFD38FFF6A8C}"/>
    <hyperlink ref="B12:D12" location="WACC!A1" display="WACC" xr:uid="{986CA89F-B44F-4CC9-AB46-AB6DA4584790}"/>
    <hyperlink ref="B8:D8" location="Segments!A1" display="Segments" xr:uid="{32AB3E18-9C78-4EEE-8C28-1A0EE66F9E07}"/>
    <hyperlink ref="B13:D13" location="TV!A1" display="TV" xr:uid="{C8A34C43-1B46-48F2-A4E8-D0C47EF513D7}"/>
    <hyperlink ref="B15:D15" location="'sensitivity analysis'!A1" display="Sensitivity analysis" xr:uid="{B5F9F618-0E28-455E-8A7B-E4D8FA243CBE}"/>
    <hyperlink ref="B16:D16" location="Comparables!A1" display="Comparables" xr:uid="{BCF1ED3B-13DC-4769-B11D-44E3F5FF61ED}"/>
    <hyperlink ref="B17:D17" location="Project!A1" display="Project" xr:uid="{D5C734DB-C83B-49E6-899A-FE07A33FD217}"/>
    <hyperlink ref="B4:D4" location="'Balance sheet'!A1" display="Balance Sheet" xr:uid="{DB0C6177-5808-4E2F-B410-B94D57E9BB68}"/>
    <hyperlink ref="B11:D11" location="'Forecasted BS'!A1" display="Forecasted BS" xr:uid="{4E40ADC5-8652-4232-909C-0F1150E4749F}"/>
  </hyperlink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04C47-5C04-43CE-924A-45ECB3033ABE}">
  <sheetPr>
    <tabColor rgb="FFFF0000"/>
  </sheetPr>
  <dimension ref="B2:U30"/>
  <sheetViews>
    <sheetView topLeftCell="F1" zoomScaleNormal="100" workbookViewId="0">
      <selection activeCell="F40" sqref="F40"/>
    </sheetView>
  </sheetViews>
  <sheetFormatPr baseColWidth="10" defaultColWidth="8.54296875" defaultRowHeight="14.5"/>
  <cols>
    <col min="1" max="1" width="8.453125" customWidth="1"/>
    <col min="6" max="6" width="59.453125" customWidth="1"/>
    <col min="7" max="7" width="14" bestFit="1" customWidth="1"/>
    <col min="8" max="8" width="12.54296875" customWidth="1"/>
    <col min="9" max="10" width="11" bestFit="1" customWidth="1"/>
    <col min="11" max="12" width="11.453125" bestFit="1" customWidth="1"/>
    <col min="13" max="15" width="16.54296875" bestFit="1" customWidth="1"/>
    <col min="16" max="16" width="15.453125" bestFit="1" customWidth="1"/>
    <col min="17" max="17" width="16.54296875" bestFit="1" customWidth="1"/>
    <col min="19" max="19" width="18.08984375" bestFit="1" customWidth="1"/>
    <col min="20" max="20" width="32.36328125" bestFit="1" customWidth="1"/>
  </cols>
  <sheetData>
    <row r="2" spans="2:20" ht="15" thickBot="1"/>
    <row r="3" spans="2:20" ht="19.5">
      <c r="B3" s="125"/>
      <c r="C3" s="88" t="s">
        <v>237</v>
      </c>
      <c r="D3" s="126"/>
      <c r="F3" s="211" t="s">
        <v>340</v>
      </c>
      <c r="G3" s="181">
        <v>2015</v>
      </c>
      <c r="H3" s="179">
        <v>2016</v>
      </c>
      <c r="I3" s="179">
        <v>2017</v>
      </c>
      <c r="J3" s="179">
        <v>2018</v>
      </c>
      <c r="K3" s="179">
        <v>2019</v>
      </c>
      <c r="L3" s="180">
        <v>2020</v>
      </c>
      <c r="M3" s="181">
        <v>2021</v>
      </c>
      <c r="N3" s="179">
        <v>2022</v>
      </c>
      <c r="O3" s="179">
        <v>2023</v>
      </c>
      <c r="P3" s="179">
        <v>2024</v>
      </c>
      <c r="Q3" s="182">
        <v>2025</v>
      </c>
      <c r="S3" s="486" t="s">
        <v>412</v>
      </c>
      <c r="T3" s="487"/>
    </row>
    <row r="4" spans="2:20" ht="15.5">
      <c r="B4" s="644" t="s">
        <v>21</v>
      </c>
      <c r="C4" s="645"/>
      <c r="D4" s="646"/>
      <c r="F4" s="212" t="s">
        <v>343</v>
      </c>
      <c r="G4" s="152"/>
      <c r="H4" s="152"/>
      <c r="I4" s="152"/>
      <c r="J4" s="152"/>
      <c r="K4" s="152"/>
      <c r="L4" s="177"/>
      <c r="M4" s="183"/>
      <c r="N4" s="184"/>
      <c r="O4" s="184"/>
      <c r="P4" s="184"/>
      <c r="Q4" s="185"/>
      <c r="S4" s="216"/>
      <c r="T4" s="484"/>
    </row>
    <row r="5" spans="2:20" ht="16" thickBot="1">
      <c r="B5" s="644" t="s">
        <v>112</v>
      </c>
      <c r="C5" s="645"/>
      <c r="D5" s="646"/>
      <c r="F5" s="213" t="s">
        <v>447</v>
      </c>
      <c r="G5" s="74">
        <f>'Forecasted IS'!G10</f>
        <v>2337.1729999999998</v>
      </c>
      <c r="H5" s="74">
        <f>'Forecasted IS'!H10</f>
        <v>2408.5500000000002</v>
      </c>
      <c r="I5" s="74">
        <f>'Forecasted IS'!I10</f>
        <v>2790.58</v>
      </c>
      <c r="J5" s="74">
        <f>'Forecasted IS'!J10</f>
        <v>3270.17</v>
      </c>
      <c r="K5" s="74">
        <f>'Forecasted IS'!K10</f>
        <v>3360.3330000000001</v>
      </c>
      <c r="L5" s="178">
        <f>'Forecasted IS'!L10</f>
        <v>3238.47</v>
      </c>
      <c r="M5" s="186">
        <f>'Forecasted IS'!M10</f>
        <v>3685.0217333333494</v>
      </c>
      <c r="N5" s="74">
        <f>'Forecasted IS'!N10</f>
        <v>3909.0624190476274</v>
      </c>
      <c r="O5" s="74">
        <f>'Forecasted IS'!O10</f>
        <v>4133.1031047619053</v>
      </c>
      <c r="P5" s="74">
        <f>'Forecasted IS'!P10</f>
        <v>4357.1437904762115</v>
      </c>
      <c r="Q5" s="187">
        <f>'Forecasted IS'!Q10</f>
        <v>4581.1844761904604</v>
      </c>
      <c r="S5" s="216"/>
      <c r="T5" s="484"/>
    </row>
    <row r="6" spans="2:20" ht="15.5">
      <c r="B6" s="644" t="s">
        <v>247</v>
      </c>
      <c r="C6" s="645"/>
      <c r="D6" s="646"/>
      <c r="F6" s="214"/>
      <c r="L6" s="69"/>
      <c r="Q6" s="148"/>
      <c r="S6" s="216"/>
      <c r="T6" s="484"/>
    </row>
    <row r="7" spans="2:20" ht="16" thickBot="1">
      <c r="B7" s="644" t="s">
        <v>246</v>
      </c>
      <c r="C7" s="645"/>
      <c r="D7" s="646"/>
      <c r="F7" s="215" t="s">
        <v>171</v>
      </c>
      <c r="G7" s="153">
        <f>'Forecasted IS'!G19</f>
        <v>225.81200000000086</v>
      </c>
      <c r="H7" s="153">
        <f>'Forecasted IS'!H19</f>
        <v>254.90700000000132</v>
      </c>
      <c r="I7" s="153">
        <f>'Forecasted IS'!I19</f>
        <v>320.37799999999919</v>
      </c>
      <c r="J7" s="153">
        <f>'Forecasted IS'!J19</f>
        <v>488.20199999999977</v>
      </c>
      <c r="K7" s="153">
        <f>'Forecasted IS'!K19</f>
        <v>469.75000000000045</v>
      </c>
      <c r="L7" s="176">
        <f>'Forecasted IS'!L19</f>
        <v>303.82899999999654</v>
      </c>
      <c r="M7" s="188">
        <f>'Forecasted IS'!M19</f>
        <v>467.59071537871506</v>
      </c>
      <c r="N7" s="153">
        <f>'Forecasted IS'!N19</f>
        <v>522.7833615198316</v>
      </c>
      <c r="O7" s="153">
        <f>'Forecasted IS'!O19</f>
        <v>568.19794677745449</v>
      </c>
      <c r="P7" s="153">
        <f>'Forecasted IS'!P19</f>
        <v>617.81833053751166</v>
      </c>
      <c r="Q7" s="189">
        <f>'Forecasted IS'!Q19</f>
        <v>683.96574161217063</v>
      </c>
      <c r="S7" s="216"/>
      <c r="T7" s="484"/>
    </row>
    <row r="8" spans="2:20" ht="15.5">
      <c r="B8" s="644" t="s">
        <v>252</v>
      </c>
      <c r="C8" s="645"/>
      <c r="D8" s="646"/>
      <c r="F8" s="216" t="s">
        <v>448</v>
      </c>
      <c r="G8" s="380">
        <f>'Forecasted IS'!G28</f>
        <v>-47.735999999999997</v>
      </c>
      <c r="H8" s="380">
        <f>'Forecasted IS'!H28</f>
        <v>-56.42</v>
      </c>
      <c r="I8" s="380">
        <f>'Forecasted IS'!I28</f>
        <v>-75.177999999999997</v>
      </c>
      <c r="J8" s="380">
        <f>'Forecasted IS'!J28</f>
        <v>-103.24</v>
      </c>
      <c r="K8" s="380">
        <f>'Forecasted IS'!K28</f>
        <v>-96.691999999999993</v>
      </c>
      <c r="L8" s="381">
        <f>'Forecasted IS'!L28</f>
        <v>-59.131</v>
      </c>
      <c r="M8" s="380">
        <f>'Forecasted IS'!M28</f>
        <v>-100.70596187035997</v>
      </c>
      <c r="N8" s="380">
        <f>'Forecasted IS'!N28</f>
        <v>-115.99694056494401</v>
      </c>
      <c r="O8" s="380">
        <f>'Forecasted IS'!O28</f>
        <v>-129.14122884542536</v>
      </c>
      <c r="P8" s="380">
        <f>'Forecasted IS'!P28</f>
        <v>-144.34444834349497</v>
      </c>
      <c r="Q8" s="382">
        <f>'Forecasted IS'!Q28</f>
        <v>-165.9130144362525</v>
      </c>
      <c r="S8" s="216"/>
      <c r="T8" s="484"/>
    </row>
    <row r="9" spans="2:20" ht="16" thickBot="1">
      <c r="B9" s="644" t="s">
        <v>249</v>
      </c>
      <c r="C9" s="645"/>
      <c r="D9" s="646"/>
      <c r="F9" s="215" t="s">
        <v>449</v>
      </c>
      <c r="G9" s="153">
        <f t="shared" ref="G9:Q9" si="0">G7 +G8</f>
        <v>178.07600000000087</v>
      </c>
      <c r="H9" s="153">
        <f t="shared" si="0"/>
        <v>198.48700000000133</v>
      </c>
      <c r="I9" s="153">
        <f t="shared" si="0"/>
        <v>245.19999999999919</v>
      </c>
      <c r="J9" s="153">
        <f t="shared" si="0"/>
        <v>384.96199999999976</v>
      </c>
      <c r="K9" s="153">
        <f t="shared" si="0"/>
        <v>373.05800000000045</v>
      </c>
      <c r="L9" s="176">
        <f t="shared" si="0"/>
        <v>244.69799999999654</v>
      </c>
      <c r="M9" s="188">
        <f t="shared" si="0"/>
        <v>366.88475350835506</v>
      </c>
      <c r="N9" s="153">
        <f t="shared" si="0"/>
        <v>406.7864209548876</v>
      </c>
      <c r="O9" s="153">
        <f t="shared" si="0"/>
        <v>439.05671793202913</v>
      </c>
      <c r="P9" s="153">
        <f t="shared" si="0"/>
        <v>473.47388219401671</v>
      </c>
      <c r="Q9" s="189">
        <f t="shared" si="0"/>
        <v>518.05272717591811</v>
      </c>
      <c r="S9" s="216"/>
      <c r="T9" s="484"/>
    </row>
    <row r="10" spans="2:20" ht="15.5">
      <c r="B10" s="644" t="s">
        <v>242</v>
      </c>
      <c r="C10" s="645"/>
      <c r="D10" s="646"/>
      <c r="F10" s="214"/>
      <c r="L10" s="69"/>
      <c r="Q10" s="148"/>
      <c r="S10" s="216"/>
      <c r="T10" s="484"/>
    </row>
    <row r="11" spans="2:20" ht="16" thickBot="1">
      <c r="B11" s="644" t="s">
        <v>239</v>
      </c>
      <c r="C11" s="645"/>
      <c r="D11" s="646"/>
      <c r="F11" s="215" t="s">
        <v>450</v>
      </c>
      <c r="G11" s="153">
        <f>'Forecasted IS'!G18</f>
        <v>165.863</v>
      </c>
      <c r="H11" s="153">
        <f>'Forecasted IS'!H18</f>
        <v>175.941</v>
      </c>
      <c r="I11" s="153">
        <f>'Forecasted IS'!I18</f>
        <v>190.49299999999999</v>
      </c>
      <c r="J11" s="153">
        <f>'Forecasted IS'!J18</f>
        <v>206.578</v>
      </c>
      <c r="K11" s="153">
        <f>'Forecasted IS'!K18</f>
        <v>244.03800000000001</v>
      </c>
      <c r="L11" s="176">
        <f>'Forecasted IS'!L18</f>
        <v>267.94200000000001</v>
      </c>
      <c r="M11" s="188">
        <f>'Forecasted IS'!M18</f>
        <v>291.4474292231809</v>
      </c>
      <c r="N11" s="153">
        <f>'Forecasted IS'!N18</f>
        <v>318.4459639519763</v>
      </c>
      <c r="O11" s="153">
        <f>'Forecasted IS'!O18</f>
        <v>359.35408587304079</v>
      </c>
      <c r="P11" s="153">
        <f>'Forecasted IS'!P18</f>
        <v>400.18793560041308</v>
      </c>
      <c r="Q11" s="189">
        <f>'Forecasted IS'!Q18</f>
        <v>428.62628432191855</v>
      </c>
      <c r="S11" s="216"/>
      <c r="T11" s="484"/>
    </row>
    <row r="12" spans="2:20" ht="15.5">
      <c r="B12" s="644" t="s">
        <v>251</v>
      </c>
      <c r="C12" s="645"/>
      <c r="D12" s="646"/>
      <c r="F12" s="214"/>
      <c r="L12" s="69"/>
      <c r="Q12" s="395"/>
      <c r="S12" s="216"/>
      <c r="T12" s="484"/>
    </row>
    <row r="13" spans="2:20" ht="15.5">
      <c r="B13" s="644" t="s">
        <v>254</v>
      </c>
      <c r="C13" s="645"/>
      <c r="D13" s="646"/>
      <c r="F13" s="216" t="s">
        <v>451</v>
      </c>
      <c r="G13" s="380">
        <f>'Forecasted BS'!G20</f>
        <v>1053.6690000000001</v>
      </c>
      <c r="H13" s="380">
        <f>'Forecasted BS'!H20</f>
        <v>1188.8219999999999</v>
      </c>
      <c r="I13" s="380">
        <f>'Forecasted BS'!I20</f>
        <v>1628.423</v>
      </c>
      <c r="J13" s="380">
        <f>'Forecasted BS'!J20</f>
        <v>2308.0940000000001</v>
      </c>
      <c r="K13" s="380">
        <f>'Forecasted BS'!K20</f>
        <v>2462.33</v>
      </c>
      <c r="L13" s="381">
        <f>'Forecasted BS'!L20</f>
        <v>2718.0920000000001</v>
      </c>
      <c r="M13" s="380">
        <f>'Forecasted BS'!M20</f>
        <v>2902.9085947674994</v>
      </c>
      <c r="N13" s="380">
        <f>'Forecasted BS'!N20</f>
        <v>3390.4791661237618</v>
      </c>
      <c r="O13" s="380">
        <f>'Forecasted BS'!O20</f>
        <v>3884.5042521412975</v>
      </c>
      <c r="P13" s="380">
        <f>'Forecasted BS'!P20</f>
        <v>4282.3095652896563</v>
      </c>
      <c r="Q13" s="382">
        <f>'Forecasted BS'!Q20</f>
        <v>4458.0851816159475</v>
      </c>
      <c r="S13" s="216" t="s">
        <v>452</v>
      </c>
      <c r="T13" s="484" t="s">
        <v>453</v>
      </c>
    </row>
    <row r="14" spans="2:20" ht="15.5">
      <c r="B14" s="644" t="s">
        <v>350</v>
      </c>
      <c r="C14" s="645"/>
      <c r="D14" s="646"/>
      <c r="F14" s="217"/>
      <c r="G14" s="380"/>
      <c r="H14" s="380"/>
      <c r="I14" s="380"/>
      <c r="J14" s="380"/>
      <c r="K14" s="380"/>
      <c r="L14" s="381"/>
      <c r="M14" s="396"/>
      <c r="N14" s="380"/>
      <c r="O14" s="380"/>
      <c r="P14" s="380"/>
      <c r="Q14" s="382"/>
      <c r="S14" s="216"/>
      <c r="T14" s="484"/>
    </row>
    <row r="15" spans="2:20" ht="15.5">
      <c r="B15" s="644" t="s">
        <v>255</v>
      </c>
      <c r="C15" s="645"/>
      <c r="D15" s="646"/>
      <c r="F15" s="216" t="s">
        <v>454</v>
      </c>
      <c r="G15" s="380">
        <f>'Forecasted BS'!G21+'Forecasted BS'!G14</f>
        <v>844.99700000000007</v>
      </c>
      <c r="H15" s="380">
        <f>'Forecasted BS'!H21+'Forecasted BS'!H14</f>
        <v>855.38599999999985</v>
      </c>
      <c r="I15" s="380">
        <f>'Forecasted BS'!I21+'Forecasted BS'!I14</f>
        <v>1349.8079999999998</v>
      </c>
      <c r="J15" s="408">
        <f>'Forecasted BS'!J21+'Forecasted BS'!J14</f>
        <v>1158.116</v>
      </c>
      <c r="K15" s="380">
        <f>'Forecasted BS'!K21+'Forecasted BS'!K14</f>
        <v>1445.6980000000001</v>
      </c>
      <c r="L15" s="381">
        <f>'Forecasted BS'!L21+'Forecasted BS'!L14</f>
        <v>1688.9309999999998</v>
      </c>
      <c r="M15" s="396">
        <f>'Forecasted BS'!M21+'Forecasted BS'!M14</f>
        <v>1973.5302885203091</v>
      </c>
      <c r="N15" s="380">
        <f>'Forecasted BS'!N21+'Forecasted BS'!N14</f>
        <v>2306.5207486293275</v>
      </c>
      <c r="O15" s="380">
        <f>'Forecasted BS'!O21+'Forecasted BS'!O14</f>
        <v>2696.1204724262152</v>
      </c>
      <c r="P15" s="380">
        <f>'Forecasted BS'!P21+'Forecasted BS'!P14</f>
        <v>3151.9434278111603</v>
      </c>
      <c r="Q15" s="382">
        <f>'Forecasted BS'!Q21+'Forecasted BS'!Q14</f>
        <v>3685.2365483650342</v>
      </c>
      <c r="S15" s="216" t="s">
        <v>425</v>
      </c>
      <c r="T15" s="484" t="s">
        <v>455</v>
      </c>
    </row>
    <row r="16" spans="2:20" ht="15.5">
      <c r="B16" s="644" t="s">
        <v>352</v>
      </c>
      <c r="C16" s="645"/>
      <c r="D16" s="646"/>
      <c r="F16" s="217"/>
      <c r="G16" s="380"/>
      <c r="H16" s="380"/>
      <c r="I16" s="380"/>
      <c r="J16" s="380"/>
      <c r="K16" s="380"/>
      <c r="L16" s="381"/>
      <c r="M16" s="396"/>
      <c r="N16" s="380"/>
      <c r="O16" s="380"/>
      <c r="P16" s="380"/>
      <c r="Q16" s="382"/>
      <c r="S16" s="216"/>
      <c r="T16" s="484"/>
    </row>
    <row r="17" spans="2:21" ht="16" thickBot="1">
      <c r="B17" s="638" t="s">
        <v>353</v>
      </c>
      <c r="C17" s="639"/>
      <c r="D17" s="640"/>
      <c r="F17" s="216" t="s">
        <v>456</v>
      </c>
      <c r="G17" s="380">
        <f>'Forecasted BS'!G50+'Forecasted BS'!G44</f>
        <v>1120.0260000000001</v>
      </c>
      <c r="H17" s="380">
        <f>'Forecasted BS'!H50+'Forecasted BS'!H44</f>
        <v>1203.0229999999999</v>
      </c>
      <c r="I17" s="380">
        <f>'Forecasted BS'!I50+'Forecasted BS'!I44</f>
        <v>1680.2579999999998</v>
      </c>
      <c r="J17" s="408">
        <f>'Forecasted BS'!J50+'Forecasted BS'!J44</f>
        <v>1613.7520000000002</v>
      </c>
      <c r="K17" s="380">
        <f>'Forecasted BS'!K50+'Forecasted BS'!K44</f>
        <v>1940.4600000000003</v>
      </c>
      <c r="L17" s="381">
        <f>'Forecasted BS'!L50+'Forecasted BS'!L44</f>
        <v>2442.4340000000002</v>
      </c>
      <c r="M17" s="396">
        <f>'Forecasted BS'!M50+'Forecasted BS'!M44</f>
        <v>2939.502191546002</v>
      </c>
      <c r="N17" s="380">
        <f>'Forecasted BS'!N50+'Forecasted BS'!N44</f>
        <v>3538.9716604023292</v>
      </c>
      <c r="O17" s="380">
        <f>'Forecasted BS'!O50+'Forecasted BS'!O44</f>
        <v>4261.9065594553031</v>
      </c>
      <c r="P17" s="380">
        <f>'Forecasted BS'!P50+'Forecasted BS'!P44</f>
        <v>5133.7047751991695</v>
      </c>
      <c r="Q17" s="382">
        <f>'Forecasted BS'!Q50+'Forecasted BS'!Q44</f>
        <v>6184.9895290224231</v>
      </c>
      <c r="S17" s="216" t="s">
        <v>425</v>
      </c>
      <c r="T17" s="484" t="s">
        <v>455</v>
      </c>
    </row>
    <row r="18" spans="2:21" ht="15.5">
      <c r="F18" s="217"/>
      <c r="G18" s="380"/>
      <c r="H18" s="380"/>
      <c r="I18" s="380"/>
      <c r="J18" s="380"/>
      <c r="K18" s="380"/>
      <c r="L18" s="381"/>
      <c r="M18" s="396"/>
      <c r="N18" s="380"/>
      <c r="O18" s="380"/>
      <c r="P18" s="380"/>
      <c r="Q18" s="382"/>
      <c r="S18" s="216"/>
      <c r="T18" s="484"/>
    </row>
    <row r="19" spans="2:21" ht="15.5">
      <c r="F19" s="216" t="s">
        <v>457</v>
      </c>
      <c r="G19" s="380">
        <f>'Forecasted BS'!G52</f>
        <v>36.537999999999997</v>
      </c>
      <c r="H19" s="380">
        <f>'Forecasted BS'!H52</f>
        <v>41.69</v>
      </c>
      <c r="I19" s="380">
        <f>'Forecasted BS'!I52</f>
        <v>67.759</v>
      </c>
      <c r="J19" s="408">
        <f>'Forecasted BS'!J52</f>
        <v>107.973</v>
      </c>
      <c r="K19" s="380">
        <f>'Forecasted BS'!K52</f>
        <v>64.23</v>
      </c>
      <c r="L19" s="381">
        <f>'Forecasted BS'!L52</f>
        <v>60.295999999999999</v>
      </c>
      <c r="M19" s="396">
        <f>'Forecasted BS'!M52</f>
        <v>68.797970332256824</v>
      </c>
      <c r="N19" s="380">
        <f>'Forecasted BS'!N52</f>
        <v>78.498751523120774</v>
      </c>
      <c r="O19" s="380">
        <f>'Forecasted BS'!O52</f>
        <v>89.567380562671872</v>
      </c>
      <c r="P19" s="380">
        <f>'Forecasted BS'!P52</f>
        <v>102.19672931353085</v>
      </c>
      <c r="Q19" s="382">
        <f>'Forecasted BS'!Q52</f>
        <v>116.60686532051839</v>
      </c>
      <c r="S19" s="216" t="s">
        <v>425</v>
      </c>
      <c r="T19" s="484" t="s">
        <v>455</v>
      </c>
    </row>
    <row r="20" spans="2:21" ht="15.5">
      <c r="F20" s="218" t="s">
        <v>458</v>
      </c>
      <c r="G20" s="380">
        <f xml:space="preserve"> 'Forecasted BS'!G22 - 'Forecasted BS'!G51</f>
        <v>-19.230000000000004</v>
      </c>
      <c r="H20" s="380">
        <f xml:space="preserve"> 'Forecasted BS'!H22 - 'Forecasted BS'!H51</f>
        <v>-25.148999999999994</v>
      </c>
      <c r="I20" s="380">
        <f xml:space="preserve"> 'Forecasted BS'!I22 - 'Forecasted BS'!I51</f>
        <v>-26.793999999999997</v>
      </c>
      <c r="J20" s="380">
        <f xml:space="preserve"> 'Forecasted BS'!J22 - 'Forecasted BS'!J51</f>
        <v>-12.828000000000003</v>
      </c>
      <c r="K20" s="380">
        <f xml:space="preserve"> 'Forecasted BS'!K22 - 'Forecasted BS'!K51</f>
        <v>-86.036000000000001</v>
      </c>
      <c r="L20" s="381">
        <f xml:space="preserve"> 'Forecasted BS'!L22 - 'Forecasted BS'!L51</f>
        <v>-121.18100000000001</v>
      </c>
      <c r="M20" s="396">
        <f xml:space="preserve"> 'Forecasted BS'!M22 - 'Forecasted BS'!M51</f>
        <v>-75.252275248675815</v>
      </c>
      <c r="N20" s="380">
        <f xml:space="preserve"> 'Forecasted BS'!N22 - 'Forecasted BS'!N51</f>
        <v>-91.323138330143166</v>
      </c>
      <c r="O20" s="380">
        <f xml:space="preserve"> 'Forecasted BS'!O22 - 'Forecasted BS'!O51</f>
        <v>-109.02687420461481</v>
      </c>
      <c r="P20" s="380">
        <f xml:space="preserve"> 'Forecasted BS'!P22 - 'Forecasted BS'!P51</f>
        <v>-127.9895356269393</v>
      </c>
      <c r="Q20" s="382">
        <f xml:space="preserve"> 'Forecasted BS'!Q22 - 'Forecasted BS'!Q51</f>
        <v>-145.10783714676072</v>
      </c>
      <c r="S20" s="216" t="s">
        <v>425</v>
      </c>
      <c r="T20" s="484" t="s">
        <v>455</v>
      </c>
    </row>
    <row r="21" spans="2:21" ht="15.5">
      <c r="F21" s="219" t="s">
        <v>459</v>
      </c>
      <c r="G21" s="380">
        <f>'Balance sheet'!B39-'Balance sheet'!B58</f>
        <v>97.822000000000003</v>
      </c>
      <c r="H21" s="380">
        <f>'Balance sheet'!C39-'Balance sheet'!C58</f>
        <v>110.681</v>
      </c>
      <c r="I21" s="380">
        <f>'Balance sheet'!D39-'Balance sheet'!D58</f>
        <v>111.146</v>
      </c>
      <c r="J21" s="380">
        <f>'Balance sheet'!E39-'Balance sheet'!E58</f>
        <v>126.63</v>
      </c>
      <c r="K21" s="380">
        <f>'Balance sheet'!F39-'Balance sheet'!F58</f>
        <v>157.46599999999998</v>
      </c>
      <c r="L21" s="381">
        <f>'Balance sheet'!G39-'Balance sheet'!G58</f>
        <v>199.09199999999998</v>
      </c>
      <c r="M21" s="397">
        <f>'Forecasted BS'!M101*'Forecasted IS'!$M33</f>
        <v>210.10697444822506</v>
      </c>
      <c r="N21" s="398">
        <f>'Forecasted BS'!N101*'Forecasted IS'!$M33</f>
        <v>208.48206393628163</v>
      </c>
      <c r="O21" s="398">
        <f>'Forecasted BS'!O101*'Forecasted IS'!$M33</f>
        <v>204.73048938553214</v>
      </c>
      <c r="P21" s="398">
        <f>'Forecasted BS'!P101*'Forecasted IS'!$M33</f>
        <v>205.05782917183686</v>
      </c>
      <c r="Q21" s="383">
        <f>'Forecasted BS'!Q101*'Forecasted IS'!$M33</f>
        <v>205.69859690314905</v>
      </c>
      <c r="S21" s="216" t="s">
        <v>415</v>
      </c>
      <c r="T21" s="484" t="s">
        <v>455</v>
      </c>
    </row>
    <row r="22" spans="2:21" ht="15.5">
      <c r="F22" s="220"/>
      <c r="L22" s="69"/>
      <c r="M22" s="399"/>
      <c r="Q22" s="148"/>
      <c r="S22" s="216"/>
      <c r="T22" s="484"/>
    </row>
    <row r="23" spans="2:21" ht="16" thickBot="1">
      <c r="F23" s="215" t="s">
        <v>460</v>
      </c>
      <c r="G23" s="153">
        <f t="shared" ref="G23:Q23" si="1">G13+G15-G17-G19+G20+G21</f>
        <v>820.69400000000007</v>
      </c>
      <c r="H23" s="153">
        <f t="shared" si="1"/>
        <v>885.0269999999997</v>
      </c>
      <c r="I23" s="153">
        <f t="shared" si="1"/>
        <v>1314.5659999999998</v>
      </c>
      <c r="J23" s="153">
        <f t="shared" si="1"/>
        <v>1858.2869999999998</v>
      </c>
      <c r="K23" s="153">
        <f t="shared" si="1"/>
        <v>1974.7679999999998</v>
      </c>
      <c r="L23" s="176">
        <f t="shared" si="1"/>
        <v>1982.2039999999997</v>
      </c>
      <c r="M23" s="390">
        <f t="shared" si="1"/>
        <v>2002.9934206090988</v>
      </c>
      <c r="N23" s="153">
        <f t="shared" si="1"/>
        <v>2196.6884284337771</v>
      </c>
      <c r="O23" s="153">
        <f t="shared" si="1"/>
        <v>2324.8543997304555</v>
      </c>
      <c r="P23" s="153">
        <f t="shared" si="1"/>
        <v>2275.419782133014</v>
      </c>
      <c r="Q23" s="189">
        <f t="shared" si="1"/>
        <v>1902.3160953944291</v>
      </c>
      <c r="S23" s="216"/>
      <c r="T23" s="484"/>
    </row>
    <row r="24" spans="2:21" ht="15.5">
      <c r="F24" s="221" t="s">
        <v>461</v>
      </c>
      <c r="G24" s="384"/>
      <c r="H24" s="384">
        <f t="shared" ref="H24:K24" si="2">H23-G23</f>
        <v>64.332999999999629</v>
      </c>
      <c r="I24" s="384">
        <f t="shared" si="2"/>
        <v>429.5390000000001</v>
      </c>
      <c r="J24" s="384">
        <f t="shared" si="2"/>
        <v>543.721</v>
      </c>
      <c r="K24" s="384">
        <f t="shared" si="2"/>
        <v>116.48099999999999</v>
      </c>
      <c r="L24" s="385">
        <f t="shared" ref="L24:Q24" si="3">L23-K23</f>
        <v>7.4359999999999218</v>
      </c>
      <c r="M24" s="384">
        <f t="shared" si="3"/>
        <v>20.789420609099125</v>
      </c>
      <c r="N24" s="384">
        <f t="shared" si="3"/>
        <v>193.69500782467821</v>
      </c>
      <c r="O24" s="384">
        <f t="shared" si="3"/>
        <v>128.16597129667844</v>
      </c>
      <c r="P24" s="384">
        <f t="shared" si="3"/>
        <v>-49.434617597441502</v>
      </c>
      <c r="Q24" s="386">
        <f t="shared" si="3"/>
        <v>-373.10368673858488</v>
      </c>
      <c r="S24" s="216"/>
      <c r="T24" s="484"/>
    </row>
    <row r="25" spans="2:21" ht="15.5">
      <c r="F25" s="222"/>
      <c r="L25" s="69"/>
      <c r="Q25" s="148"/>
      <c r="S25" s="216"/>
      <c r="T25" s="484"/>
    </row>
    <row r="26" spans="2:21" ht="16" thickBot="1">
      <c r="F26" s="215" t="s">
        <v>462</v>
      </c>
      <c r="G26" s="153"/>
      <c r="H26" s="153">
        <f t="shared" ref="H26:Q26" si="4">H9+H11-H24</f>
        <v>310.09500000000173</v>
      </c>
      <c r="I26" s="153">
        <f t="shared" si="4"/>
        <v>6.1539999999990869</v>
      </c>
      <c r="J26" s="153">
        <f t="shared" si="4"/>
        <v>47.818999999999733</v>
      </c>
      <c r="K26" s="153">
        <f t="shared" si="4"/>
        <v>500.61500000000046</v>
      </c>
      <c r="L26" s="176">
        <f t="shared" si="4"/>
        <v>505.20399999999665</v>
      </c>
      <c r="M26" s="188">
        <f t="shared" si="4"/>
        <v>637.5427621224369</v>
      </c>
      <c r="N26" s="153">
        <f t="shared" si="4"/>
        <v>531.53737708218569</v>
      </c>
      <c r="O26" s="153">
        <f t="shared" si="4"/>
        <v>670.24483250839148</v>
      </c>
      <c r="P26" s="153">
        <f t="shared" si="4"/>
        <v>923.0964353918713</v>
      </c>
      <c r="Q26" s="189">
        <f t="shared" si="4"/>
        <v>1319.7826982364215</v>
      </c>
      <c r="S26" s="216"/>
      <c r="T26" s="484"/>
    </row>
    <row r="27" spans="2:21" ht="15.5">
      <c r="F27" s="223"/>
      <c r="G27" s="149"/>
      <c r="H27" s="149"/>
      <c r="I27" s="149"/>
      <c r="J27" s="149"/>
      <c r="K27" s="149"/>
      <c r="L27" s="146"/>
      <c r="M27" s="149"/>
      <c r="N27" s="149"/>
      <c r="O27" s="149"/>
      <c r="P27" s="149"/>
      <c r="Q27" s="150"/>
      <c r="S27" s="216"/>
      <c r="T27" s="484"/>
    </row>
    <row r="28" spans="2:21" ht="16" thickBot="1">
      <c r="F28" s="215" t="s">
        <v>463</v>
      </c>
      <c r="G28" s="153">
        <v>240</v>
      </c>
      <c r="H28" s="153">
        <v>287</v>
      </c>
      <c r="I28" s="153">
        <v>365</v>
      </c>
      <c r="J28" s="153">
        <f>Segments!E111*-1</f>
        <v>477.6</v>
      </c>
      <c r="K28" s="153">
        <f>Segments!F111*-1</f>
        <v>553.20000000000005</v>
      </c>
      <c r="L28" s="176">
        <f>Segments!G111*-1</f>
        <v>403.2</v>
      </c>
      <c r="M28" s="188">
        <v>484.5</v>
      </c>
      <c r="N28" s="153">
        <v>455.1</v>
      </c>
      <c r="O28" s="153">
        <v>458.9</v>
      </c>
      <c r="P28" s="153">
        <f>AVERAGE(K28:O28)</f>
        <v>470.98</v>
      </c>
      <c r="Q28" s="189">
        <f>AVERAGE(L28:P28)</f>
        <v>454.53600000000006</v>
      </c>
      <c r="S28" s="216" t="s">
        <v>464</v>
      </c>
      <c r="T28" s="484" t="s">
        <v>465</v>
      </c>
      <c r="U28" t="s">
        <v>466</v>
      </c>
    </row>
    <row r="29" spans="2:21" ht="15.5">
      <c r="F29" s="223"/>
      <c r="G29" s="149"/>
      <c r="H29" s="151"/>
      <c r="I29" s="151"/>
      <c r="J29" s="151"/>
      <c r="K29" s="149"/>
      <c r="L29" s="147"/>
      <c r="M29" s="149"/>
      <c r="N29" s="149"/>
      <c r="O29" s="149"/>
      <c r="P29" s="149"/>
      <c r="Q29" s="150"/>
      <c r="S29" s="216"/>
      <c r="T29" s="484"/>
    </row>
    <row r="30" spans="2:21" ht="16" thickBot="1">
      <c r="F30" s="215" t="s">
        <v>350</v>
      </c>
      <c r="G30" s="153"/>
      <c r="H30" s="153">
        <f t="shared" ref="H30:P30" si="5">H26-H28</f>
        <v>23.095000000001733</v>
      </c>
      <c r="I30" s="153">
        <f t="shared" si="5"/>
        <v>-358.84600000000091</v>
      </c>
      <c r="J30" s="153">
        <f t="shared" si="5"/>
        <v>-429.78100000000029</v>
      </c>
      <c r="K30" s="153">
        <f t="shared" si="5"/>
        <v>-52.584999999999582</v>
      </c>
      <c r="L30" s="176">
        <f t="shared" si="5"/>
        <v>102.00399999999667</v>
      </c>
      <c r="M30" s="188">
        <f>M26-M28</f>
        <v>153.0427621224369</v>
      </c>
      <c r="N30" s="153">
        <f>N26-N28</f>
        <v>76.437377082185662</v>
      </c>
      <c r="O30" s="153">
        <f t="shared" si="5"/>
        <v>211.34483250839151</v>
      </c>
      <c r="P30" s="153">
        <f t="shared" si="5"/>
        <v>452.11643539187128</v>
      </c>
      <c r="Q30" s="189">
        <f>Q26-Q28</f>
        <v>865.24669823642148</v>
      </c>
      <c r="S30" s="251"/>
      <c r="T30" s="485"/>
    </row>
  </sheetData>
  <mergeCells count="14">
    <mergeCell ref="B16:D16"/>
    <mergeCell ref="B17:D17"/>
    <mergeCell ref="B15:D15"/>
    <mergeCell ref="B4:D4"/>
    <mergeCell ref="B5:D5"/>
    <mergeCell ref="B6:D6"/>
    <mergeCell ref="B7:D7"/>
    <mergeCell ref="B8:D8"/>
    <mergeCell ref="B9:D9"/>
    <mergeCell ref="B10:D10"/>
    <mergeCell ref="B11:D11"/>
    <mergeCell ref="B12:D12"/>
    <mergeCell ref="B13:D13"/>
    <mergeCell ref="B14:D14"/>
  </mergeCells>
  <conditionalFormatting sqref="I40:L40 N40">
    <cfRule type="colorScale" priority="15">
      <colorScale>
        <cfvo type="min"/>
        <cfvo type="percentile" val="50"/>
        <cfvo type="max"/>
        <color rgb="FFF8696B"/>
        <color rgb="FFFFEB84"/>
        <color rgb="FF63BE7B"/>
      </colorScale>
    </cfRule>
  </conditionalFormatting>
  <conditionalFormatting sqref="I43:L44 N43">
    <cfRule type="colorScale" priority="17">
      <colorScale>
        <cfvo type="min"/>
        <cfvo type="percentile" val="50"/>
        <cfvo type="max"/>
        <color rgb="FFF8696B"/>
        <color rgb="FFFFEB84"/>
        <color rgb="FF63BE7B"/>
      </colorScale>
    </cfRule>
  </conditionalFormatting>
  <conditionalFormatting sqref="I45:L45 N45">
    <cfRule type="colorScale" priority="19">
      <colorScale>
        <cfvo type="min"/>
        <cfvo type="percentile" val="50"/>
        <cfvo type="max"/>
        <color rgb="FFF8696B"/>
        <color rgb="FFFFEB84"/>
        <color rgb="FF63BE7B"/>
      </colorScale>
    </cfRule>
  </conditionalFormatting>
  <conditionalFormatting sqref="I47:L47">
    <cfRule type="colorScale" priority="21">
      <colorScale>
        <cfvo type="min"/>
        <cfvo type="percentile" val="50"/>
        <cfvo type="max"/>
        <color rgb="FFF8696B"/>
        <color rgb="FFFFEB84"/>
        <color rgb="FF63BE7B"/>
      </colorScale>
    </cfRule>
  </conditionalFormatting>
  <conditionalFormatting sqref="M37:M47 I36:N36">
    <cfRule type="colorScale" priority="13">
      <colorScale>
        <cfvo type="min"/>
        <cfvo type="percentile" val="50"/>
        <cfvo type="max"/>
        <color rgb="FFF8696B"/>
        <color rgb="FFFFEB84"/>
        <color rgb="FF63BE7B"/>
      </colorScale>
    </cfRule>
  </conditionalFormatting>
  <conditionalFormatting sqref="S5:AB30">
    <cfRule type="colorScale" priority="32">
      <colorScale>
        <cfvo type="min"/>
        <cfvo type="percentile" val="50"/>
        <cfvo type="max"/>
        <color rgb="FF63BE7B"/>
        <color rgb="FFFCFCFF"/>
        <color rgb="FFF8696B"/>
      </colorScale>
    </cfRule>
  </conditionalFormatting>
  <conditionalFormatting sqref="T15">
    <cfRule type="colorScale" priority="11">
      <colorScale>
        <cfvo type="min"/>
        <cfvo type="percentile" val="50"/>
        <cfvo type="max"/>
        <color rgb="FFF8696B"/>
        <color rgb="FFFFEB84"/>
        <color rgb="FF63BE7B"/>
      </colorScale>
    </cfRule>
  </conditionalFormatting>
  <conditionalFormatting sqref="T17">
    <cfRule type="colorScale" priority="4">
      <colorScale>
        <cfvo type="min"/>
        <cfvo type="percentile" val="50"/>
        <cfvo type="max"/>
        <color rgb="FFF8696B"/>
        <color rgb="FFFFEB84"/>
        <color rgb="FF63BE7B"/>
      </colorScale>
    </cfRule>
  </conditionalFormatting>
  <conditionalFormatting sqref="T19">
    <cfRule type="colorScale" priority="3">
      <colorScale>
        <cfvo type="min"/>
        <cfvo type="percentile" val="50"/>
        <cfvo type="max"/>
        <color rgb="FFF8696B"/>
        <color rgb="FFFFEB84"/>
        <color rgb="FF63BE7B"/>
      </colorScale>
    </cfRule>
  </conditionalFormatting>
  <conditionalFormatting sqref="T20">
    <cfRule type="colorScale" priority="2">
      <colorScale>
        <cfvo type="min"/>
        <cfvo type="percentile" val="50"/>
        <cfvo type="max"/>
        <color rgb="FFF8696B"/>
        <color rgb="FFFFEB84"/>
        <color rgb="FF63BE7B"/>
      </colorScale>
    </cfRule>
  </conditionalFormatting>
  <conditionalFormatting sqref="T21">
    <cfRule type="colorScale" priority="1">
      <colorScale>
        <cfvo type="min"/>
        <cfvo type="percentile" val="50"/>
        <cfvo type="max"/>
        <color rgb="FFF8696B"/>
        <color rgb="FFFFEB84"/>
        <color rgb="FF63BE7B"/>
      </colorScale>
    </cfRule>
  </conditionalFormatting>
  <hyperlinks>
    <hyperlink ref="B10:D10" location="'Forecasted IS'!A1" display="Forecasted IS" xr:uid="{EDE79297-2B0E-4174-A954-FC66FA01F8F5}"/>
    <hyperlink ref="B5:D5" location="'Income Statement'!A1" display="Income Statement" xr:uid="{51A8CE2A-9D7E-4439-AC3F-318372C691D2}"/>
    <hyperlink ref="B7:D7" location="'Market data'!A1" display="Market Data" xr:uid="{116D4CD6-A569-4EBD-BC77-D21D3C498358}"/>
    <hyperlink ref="B6:D6" location="'Key stats'!A1" display="Key Stat" xr:uid="{DABCDA71-0875-485D-BE2B-6ACE5C785C38}"/>
    <hyperlink ref="B9:D9" location="'Cash Flow'!A1" display="Cash Flow" xr:uid="{7A314BAB-5609-4512-9F0A-71A6A9F9F71C}"/>
    <hyperlink ref="B14:D14" location="FCF!A1" display="FCF" xr:uid="{F758ED29-82BA-41A0-815A-FB6B1104C063}"/>
    <hyperlink ref="B12:D12" location="WACC!A1" display="WACC" xr:uid="{C71F98FD-FB1F-4258-B065-E1E01B1A8FEC}"/>
    <hyperlink ref="B8:D8" location="Segments!A1" display="Segments" xr:uid="{AD3A9F30-2CAC-4227-932B-081A10D1D8C7}"/>
    <hyperlink ref="B13:D13" location="TV!A1" display="TV" xr:uid="{AD88CA2F-5DBF-4A46-A3C3-246B3DF106E8}"/>
    <hyperlink ref="B15:D15" location="'sensitivity analysis'!A1" display="Sensitivity analysis" xr:uid="{2094099D-A175-4C6F-B4AE-6E9B2185D6BB}"/>
    <hyperlink ref="B16:D16" location="Comparables!A1" display="Comparables" xr:uid="{07FFE7BD-66B5-4B8B-B41A-EEC6AD3C7485}"/>
    <hyperlink ref="B17:D17" location="Project!A1" display="Project" xr:uid="{D78CAC69-8417-4C1E-9751-02EAF91AD1A4}"/>
    <hyperlink ref="B4:D4" location="'Balance sheet'!A1" display="Balance Sheet" xr:uid="{3AC7C180-B733-455F-960D-7D8D9E3CE6F2}"/>
    <hyperlink ref="B11:D11" location="'Forecasted BS'!A1" display="Forecasted BS" xr:uid="{710CD244-2ADF-4E80-A56B-5D007CEB64FC}"/>
  </hyperlinks>
  <pageMargins left="0.7" right="0.7" top="0.75" bottom="0.75" header="0.3" footer="0.3"/>
  <pageSetup paperSize="9" orientation="portrait" horizontalDpi="4294967293"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729ACF29F583544A594D72CB7F958B2" ma:contentTypeVersion="12" ma:contentTypeDescription="Crée un document." ma:contentTypeScope="" ma:versionID="933f8eaf7b8e5708182adce08e25b74f">
  <xsd:schema xmlns:xsd="http://www.w3.org/2001/XMLSchema" xmlns:xs="http://www.w3.org/2001/XMLSchema" xmlns:p="http://schemas.microsoft.com/office/2006/metadata/properties" xmlns:ns3="955b9fb9-82e5-4d73-ae18-a6e07cb65810" xmlns:ns4="f904dc16-2f6a-465a-9a5f-f9ae47b7011d" targetNamespace="http://schemas.microsoft.com/office/2006/metadata/properties" ma:root="true" ma:fieldsID="7dc19c3d3cabeed43213bb0f2cd0b3af" ns3:_="" ns4:_="">
    <xsd:import namespace="955b9fb9-82e5-4d73-ae18-a6e07cb65810"/>
    <xsd:import namespace="f904dc16-2f6a-465a-9a5f-f9ae47b7011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5b9fb9-82e5-4d73-ae18-a6e07cb658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04dc16-2f6a-465a-9a5f-f9ae47b7011d"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39B19D-BDF3-4C01-8B33-62E49233969E}">
  <ds:schemaRefs>
    <ds:schemaRef ds:uri="http://schemas.microsoft.com/office/2006/metadata/properties"/>
    <ds:schemaRef ds:uri="http://purl.org/dc/elements/1.1/"/>
    <ds:schemaRef ds:uri="http://purl.org/dc/terms/"/>
    <ds:schemaRef ds:uri="http://schemas.microsoft.com/office/2006/documentManagement/types"/>
    <ds:schemaRef ds:uri="http://schemas.microsoft.com/office/infopath/2007/PartnerControls"/>
    <ds:schemaRef ds:uri="http://www.w3.org/XML/1998/namespace"/>
    <ds:schemaRef ds:uri="http://schemas.openxmlformats.org/package/2006/metadata/core-properties"/>
    <ds:schemaRef ds:uri="f904dc16-2f6a-465a-9a5f-f9ae47b7011d"/>
    <ds:schemaRef ds:uri="955b9fb9-82e5-4d73-ae18-a6e07cb65810"/>
    <ds:schemaRef ds:uri="http://purl.org/dc/dcmitype/"/>
  </ds:schemaRefs>
</ds:datastoreItem>
</file>

<file path=customXml/itemProps2.xml><?xml version="1.0" encoding="utf-8"?>
<ds:datastoreItem xmlns:ds="http://schemas.openxmlformats.org/officeDocument/2006/customXml" ds:itemID="{202CD00E-52E2-43CA-A245-7B8F76D3D19B}">
  <ds:schemaRefs>
    <ds:schemaRef ds:uri="http://schemas.microsoft.com/sharepoint/v3/contenttype/forms"/>
  </ds:schemaRefs>
</ds:datastoreItem>
</file>

<file path=customXml/itemProps3.xml><?xml version="1.0" encoding="utf-8"?>
<ds:datastoreItem xmlns:ds="http://schemas.openxmlformats.org/officeDocument/2006/customXml" ds:itemID="{7C72C56F-EEB1-4A86-9E1C-64C22816C0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5b9fb9-82e5-4d73-ae18-a6e07cb65810"/>
    <ds:schemaRef ds:uri="f904dc16-2f6a-465a-9a5f-f9ae47b701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Balance sheet</vt:lpstr>
      <vt:lpstr>Income Statement</vt:lpstr>
      <vt:lpstr>Key stats</vt:lpstr>
      <vt:lpstr>Market data</vt:lpstr>
      <vt:lpstr>Segments</vt:lpstr>
      <vt:lpstr>Cash Flow</vt:lpstr>
      <vt:lpstr>Forecasted IS</vt:lpstr>
      <vt:lpstr>Forecasted BS</vt:lpstr>
      <vt:lpstr>FCF</vt:lpstr>
      <vt:lpstr>WACC</vt:lpstr>
      <vt:lpstr>TV and stock price</vt:lpstr>
      <vt:lpstr>sensitivity analysis</vt:lpstr>
      <vt:lpstr>Comparables</vt:lpstr>
      <vt:lpstr>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Angelo Luisi</dc:creator>
  <cp:keywords/>
  <dc:description/>
  <cp:lastModifiedBy>Victor Dujardin</cp:lastModifiedBy>
  <cp:revision/>
  <dcterms:created xsi:type="dcterms:W3CDTF">2021-09-27T18:16:51Z</dcterms:created>
  <dcterms:modified xsi:type="dcterms:W3CDTF">2023-11-07T20:49:52Z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0x0101007729ACF29F583544A594D72CB7F958B2</vt:lpwstr>
  </property>
</Properties>
</file>